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trlProps/ctrlProp1.xml" ContentType="application/vnd.ms-excel.controlproperti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ctrlProps/ctrlProp2.xml" ContentType="application/vnd.ms-excel.controlproperties+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codeName="ThisWorkbook"/>
  <mc:AlternateContent xmlns:mc="http://schemas.openxmlformats.org/markup-compatibility/2006">
    <mc:Choice Requires="x15">
      <x15ac:absPath xmlns:x15ac="http://schemas.microsoft.com/office/spreadsheetml/2010/11/ac" url="\\DESKTOP-2UBA0V4\Users\ODCEC Vercelli\Desktop\ODCEC\PERSONALE DIPENDENTE\MEF - RGS\ANNO 2025\"/>
    </mc:Choice>
  </mc:AlternateContent>
  <xr:revisionPtr revIDLastSave="0" documentId="13_ncr:1_{2BD41718-E661-4F67-89B6-7680C30E51EB}" xr6:coauthVersionLast="47" xr6:coauthVersionMax="47" xr10:uidLastSave="{00000000-0000-0000-0000-000000000000}"/>
  <bookViews>
    <workbookView xWindow="-120" yWindow="-120" windowWidth="21840" windowHeight="13140" tabRatio="896" firstSheet="14" activeTab="15" xr2:uid="{00000000-000D-0000-FFFF-FFFF00000000}"/>
  </bookViews>
  <sheets>
    <sheet name="SI_1" sheetId="47" r:id="rId1"/>
    <sheet name="tFAM" sheetId="124" r:id="rId2"/>
    <sheet name="t1" sheetId="2" r:id="rId3"/>
    <sheet name="1E" sheetId="126" r:id="rId4"/>
    <sheet name="t2" sheetId="125" r:id="rId5"/>
    <sheet name="t2A" sheetId="53" r:id="rId6"/>
    <sheet name="t3" sheetId="20" r:id="rId7"/>
    <sheet name="t4" sheetId="127" r:id="rId8"/>
    <sheet name="t5" sheetId="8" r:id="rId9"/>
    <sheet name="t6" sheetId="7" r:id="rId10"/>
    <sheet name="t7" sheetId="6" r:id="rId11"/>
    <sheet name="t8" sheetId="5" r:id="rId12"/>
    <sheet name="t9" sheetId="4" r:id="rId13"/>
    <sheet name="t10" sheetId="18" r:id="rId14"/>
    <sheet name="t11" sheetId="43" r:id="rId15"/>
    <sheet name="t12" sheetId="15" r:id="rId16"/>
    <sheet name="t13" sheetId="14" r:id="rId17"/>
    <sheet name="t14" sheetId="23" r:id="rId18"/>
    <sheet name="t15(1)" sheetId="111" r:id="rId19"/>
    <sheet name="t15(2)" sheetId="112" r:id="rId20"/>
    <sheet name="t15(3)" sheetId="113" r:id="rId21"/>
    <sheet name="t15(4)" sheetId="114" r:id="rId22"/>
    <sheet name="t15(5)" sheetId="115" r:id="rId23"/>
    <sheet name="SICI(1)" sheetId="116" r:id="rId24"/>
    <sheet name="SICI(2)" sheetId="117" r:id="rId25"/>
    <sheet name="SICI(3)" sheetId="118" r:id="rId26"/>
    <sheet name="SICI(4)" sheetId="119" r:id="rId27"/>
    <sheet name="SICI(5)" sheetId="120" r:id="rId28"/>
    <sheet name="Tabella Riconciliazione" sheetId="78" r:id="rId29"/>
    <sheet name="Valori Medi" sheetId="58" r:id="rId30"/>
    <sheet name="Squadratura 1" sheetId="31" r:id="rId31"/>
    <sheet name="Squadratura 2" sheetId="30" r:id="rId32"/>
    <sheet name="Squadratura 3" sheetId="32" r:id="rId33"/>
    <sheet name="Squadratura 4" sheetId="33" r:id="rId34"/>
    <sheet name="Squadratura 6" sheetId="121" r:id="rId35"/>
    <sheet name="Incongruenze 1 e 11" sheetId="35" r:id="rId36"/>
    <sheet name="Incongruenza 2" sheetId="29" r:id="rId37"/>
    <sheet name="Incongruenza 3" sheetId="123" r:id="rId38"/>
    <sheet name="Incongruenza 4 e controlli t14" sheetId="46" r:id="rId39"/>
    <sheet name="Incongruenza 5" sheetId="44" r:id="rId40"/>
    <sheet name="Incongruenza 6" sheetId="45" r:id="rId41"/>
    <sheet name="Incongruenza 7" sheetId="48" r:id="rId42"/>
    <sheet name="Incongruenza 8" sheetId="64" r:id="rId43"/>
    <sheet name="Incongruenza 10" sheetId="79" r:id="rId44"/>
    <sheet name="Incongruenze 12 e 13" sheetId="77" r:id="rId45"/>
    <sheet name="Incongruenza 14" sheetId="91" r:id="rId46"/>
    <sheet name="Incongruenza 15" sheetId="122" r:id="rId47"/>
  </sheets>
  <definedNames>
    <definedName name="_xlnm._FilterDatabase" localSheetId="11" hidden="1">'t8'!$A$3:$AB$22</definedName>
    <definedName name="_xlnm.Print_Area" localSheetId="46">'Incongruenza 15'!$A$1:$H$35</definedName>
    <definedName name="_xlnm.Print_Area" localSheetId="37">'Incongruenza 3'!$A$1:$G$39</definedName>
    <definedName name="_xlnm.Print_Area" localSheetId="35">'Incongruenze 1 e 11'!$A$1:$E$21</definedName>
    <definedName name="_xlnm.Print_Area" localSheetId="44">'Incongruenze 12 e 13'!$A$1:$D$14</definedName>
    <definedName name="_xlnm.Print_Area" localSheetId="0">SI_1!$A$1:$H$221</definedName>
    <definedName name="_xlnm.Print_Area" localSheetId="23">'SICI(1)'!$A$1:$F$55</definedName>
    <definedName name="_xlnm.Print_Area" localSheetId="24">'SICI(2)'!$A$1:$F$65</definedName>
    <definedName name="_xlnm.Print_Area" localSheetId="25">'SICI(3)'!$A$1:$F$75</definedName>
    <definedName name="_xlnm.Print_Area" localSheetId="26">'SICI(4)'!$A$1:$F$63</definedName>
    <definedName name="_xlnm.Print_Area" localSheetId="27">'SICI(5)'!$A$1:$F$108</definedName>
    <definedName name="_xlnm.Print_Area" localSheetId="30">'Squadratura 1'!$A$1:$J$22</definedName>
    <definedName name="_xlnm.Print_Area" localSheetId="31">'Squadratura 2'!$A$1:$L$23</definedName>
    <definedName name="_xlnm.Print_Area" localSheetId="32">'Squadratura 3'!$A$1:$Z$24</definedName>
    <definedName name="_xlnm.Print_Area" localSheetId="33">'Squadratura 4'!$A$1:$I$22</definedName>
    <definedName name="_xlnm.Print_Area" localSheetId="34">'Squadratura 6'!$A$1:$H$13</definedName>
    <definedName name="_xlnm.Print_Area" localSheetId="2">'t1'!$A$1:$AJ$25</definedName>
    <definedName name="_xlnm.Print_Area" localSheetId="13">'t10'!$A$1:$AV$24</definedName>
    <definedName name="_xlnm.Print_Area" localSheetId="14">'t11'!$A$1:$BA$26</definedName>
    <definedName name="_xlnm.Print_Area" localSheetId="15">'t12'!$A$1:$AJ$26</definedName>
    <definedName name="_xlnm.Print_Area" localSheetId="16">'t13'!$A$1:$AU$25</definedName>
    <definedName name="_xlnm.Print_Area" localSheetId="18">'t15(1)'!$A$1:$G$44</definedName>
    <definedName name="_xlnm.Print_Area" localSheetId="19">'t15(2)'!$A$1:$G$47</definedName>
    <definedName name="_xlnm.Print_Area" localSheetId="20">'t15(3)'!$A$1:$G$45</definedName>
    <definedName name="_xlnm.Print_Area" localSheetId="21">'t15(4)'!$A$1:$G$48</definedName>
    <definedName name="_xlnm.Print_Area" localSheetId="22">'t15(5)'!$A$1:$G$61</definedName>
    <definedName name="_xlnm.Print_Area" localSheetId="5">t2A!$A$1:$S$20</definedName>
    <definedName name="_xlnm.Print_Area" localSheetId="6">'t3'!$A$1:$P$27</definedName>
    <definedName name="_xlnm.Print_Area" localSheetId="7">'t4'!$A$1:$S$33</definedName>
    <definedName name="_xlnm.Print_Area" localSheetId="8">'t5'!$A$1:$V$26</definedName>
    <definedName name="_xlnm.Print_Area" localSheetId="10">'t7'!$A$1:$X$24</definedName>
    <definedName name="_xlnm.Print_Area" localSheetId="11">'t8'!$A$1:$AB$25</definedName>
    <definedName name="_xlnm.Print_Area" localSheetId="12">'t9'!$A$1:$P$24</definedName>
    <definedName name="_xlnm.Print_Area" localSheetId="1">tFAM!$A$1:$D$44</definedName>
    <definedName name="_xlnm.Print_Area" localSheetId="29">'Valori Medi'!$A$1:$T$24</definedName>
    <definedName name="CODI_ISTITUZIONE" localSheetId="3">#REF!</definedName>
    <definedName name="CODI_ISTITUZIONE" localSheetId="23">#REF!</definedName>
    <definedName name="CODI_ISTITUZIONE" localSheetId="24">#REF!</definedName>
    <definedName name="CODI_ISTITUZIONE" localSheetId="25">#REF!</definedName>
    <definedName name="CODI_ISTITUZIONE" localSheetId="26">#REF!</definedName>
    <definedName name="CODI_ISTITUZIONE" localSheetId="27">#REF!</definedName>
    <definedName name="CODI_ISTITUZIONE" localSheetId="7">#REF!</definedName>
    <definedName name="CODI_ISTITUZIONE">#REF!</definedName>
    <definedName name="CODI_ISTITUZIONE2" localSheetId="3">#REF!</definedName>
    <definedName name="CODI_ISTITUZIONE2" localSheetId="45">#REF!</definedName>
    <definedName name="CODI_ISTITUZIONE2" localSheetId="46">#REF!</definedName>
    <definedName name="CODI_ISTITUZIONE2" localSheetId="37">#REF!</definedName>
    <definedName name="CODI_ISTITUZIONE2" localSheetId="42">#REF!</definedName>
    <definedName name="CODI_ISTITUZIONE2" localSheetId="44">#REF!</definedName>
    <definedName name="CODI_ISTITUZIONE2" localSheetId="23">#REF!</definedName>
    <definedName name="CODI_ISTITUZIONE2" localSheetId="24">#REF!</definedName>
    <definedName name="CODI_ISTITUZIONE2" localSheetId="25">#REF!</definedName>
    <definedName name="CODI_ISTITUZIONE2" localSheetId="26">#REF!</definedName>
    <definedName name="CODI_ISTITUZIONE2" localSheetId="27">#REF!</definedName>
    <definedName name="CODI_ISTITUZIONE2" localSheetId="34">#REF!</definedName>
    <definedName name="CODI_ISTITUZIONE2" localSheetId="19">#REF!</definedName>
    <definedName name="CODI_ISTITUZIONE2" localSheetId="20">#REF!</definedName>
    <definedName name="CODI_ISTITUZIONE2" localSheetId="21">#REF!</definedName>
    <definedName name="CODI_ISTITUZIONE2" localSheetId="7">#REF!</definedName>
    <definedName name="CODI_ISTITUZIONE2">#REF!</definedName>
    <definedName name="DESC_ISTITUZIONE" localSheetId="3">#REF!</definedName>
    <definedName name="DESC_ISTITUZIONE" localSheetId="23">#REF!</definedName>
    <definedName name="DESC_ISTITUZIONE" localSheetId="24">#REF!</definedName>
    <definedName name="DESC_ISTITUZIONE" localSheetId="25">#REF!</definedName>
    <definedName name="DESC_ISTITUZIONE" localSheetId="26">#REF!</definedName>
    <definedName name="DESC_ISTITUZIONE" localSheetId="27">#REF!</definedName>
    <definedName name="DESC_ISTITUZIONE" localSheetId="7">#REF!</definedName>
    <definedName name="DESC_ISTITUZIONE">#REF!</definedName>
    <definedName name="DESC_ISTITUZIONE2" localSheetId="3">#REF!</definedName>
    <definedName name="DESC_ISTITUZIONE2" localSheetId="45">#REF!</definedName>
    <definedName name="DESC_ISTITUZIONE2" localSheetId="46">#REF!</definedName>
    <definedName name="DESC_ISTITUZIONE2" localSheetId="37">#REF!</definedName>
    <definedName name="DESC_ISTITUZIONE2" localSheetId="42">#REF!</definedName>
    <definedName name="DESC_ISTITUZIONE2" localSheetId="44">#REF!</definedName>
    <definedName name="DESC_ISTITUZIONE2" localSheetId="23">#REF!</definedName>
    <definedName name="DESC_ISTITUZIONE2" localSheetId="24">#REF!</definedName>
    <definedName name="DESC_ISTITUZIONE2" localSheetId="25">#REF!</definedName>
    <definedName name="DESC_ISTITUZIONE2" localSheetId="26">#REF!</definedName>
    <definedName name="DESC_ISTITUZIONE2" localSheetId="27">#REF!</definedName>
    <definedName name="DESC_ISTITUZIONE2" localSheetId="34">#REF!</definedName>
    <definedName name="DESC_ISTITUZIONE2" localSheetId="19">#REF!</definedName>
    <definedName name="DESC_ISTITUZIONE2" localSheetId="20">#REF!</definedName>
    <definedName name="DESC_ISTITUZIONE2" localSheetId="21">#REF!</definedName>
    <definedName name="DESC_ISTITUZIONE2" localSheetId="7">#REF!</definedName>
    <definedName name="DESC_ISTITUZIONE2">#REF!</definedName>
    <definedName name="_xlnm.Print_Titles" localSheetId="46">'Incongruenza 15'!$1:$4</definedName>
    <definedName name="_xlnm.Print_Titles" localSheetId="36">'Incongruenza 2'!$1:$5</definedName>
    <definedName name="_xlnm.Print_Titles" localSheetId="39">'Incongruenza 5'!$1:$5</definedName>
    <definedName name="_xlnm.Print_Titles" localSheetId="40">'Incongruenza 6'!$1:$5</definedName>
    <definedName name="_xlnm.Print_Titles" localSheetId="41">'Incongruenza 7'!$1:$4</definedName>
    <definedName name="_xlnm.Print_Titles" localSheetId="42">'Incongruenza 8'!$1:$5</definedName>
    <definedName name="_xlnm.Print_Titles" localSheetId="35">'Incongruenze 1 e 11'!$4:$4</definedName>
    <definedName name="_xlnm.Print_Titles" localSheetId="44">'Incongruenze 12 e 13'!$4:$4</definedName>
    <definedName name="_xlnm.Print_Titles" localSheetId="30">'Squadratura 1'!$1:$5</definedName>
    <definedName name="_xlnm.Print_Titles" localSheetId="31">'Squadratura 2'!$1:$6</definedName>
    <definedName name="_xlnm.Print_Titles" localSheetId="32">'Squadratura 3'!$A:$B,'Squadratura 3'!$1:$7</definedName>
    <definedName name="_xlnm.Print_Titles" localSheetId="33">'Squadratura 4'!$1:$5</definedName>
    <definedName name="_xlnm.Print_Titles" localSheetId="34">'Squadratura 6'!$1:$5</definedName>
    <definedName name="_xlnm.Print_Titles" localSheetId="2">'t1'!$1:$5</definedName>
    <definedName name="_xlnm.Print_Titles" localSheetId="13">'t10'!$A:$B,'t10'!$1:$5</definedName>
    <definedName name="_xlnm.Print_Titles" localSheetId="14">'t11'!$1:$7</definedName>
    <definedName name="_xlnm.Print_Titles" localSheetId="15">'t12'!$1:$5</definedName>
    <definedName name="_xlnm.Print_Titles" localSheetId="16">'t13'!$1:$5</definedName>
    <definedName name="_xlnm.Print_Titles" localSheetId="22">'t15(5)'!$5:$6</definedName>
    <definedName name="_xlnm.Print_Titles" localSheetId="4">'t2'!$1:$5</definedName>
    <definedName name="_xlnm.Print_Titles" localSheetId="6">'t3'!$1:$5</definedName>
    <definedName name="_xlnm.Print_Titles" localSheetId="8">'t5'!$1:$6</definedName>
    <definedName name="_xlnm.Print_Titles" localSheetId="9">'t6'!$1:$6</definedName>
    <definedName name="_xlnm.Print_Titles" localSheetId="10">'t7'!$1:$5</definedName>
    <definedName name="_xlnm.Print_Titles" localSheetId="11">'t8'!$1:$5</definedName>
    <definedName name="_xlnm.Print_Titles" localSheetId="12">'t9'!$1:$5</definedName>
    <definedName name="_xlnm.Print_Titles" localSheetId="1">tFAM!$1:$4</definedName>
    <definedName name="_xlnm.Print_Titles" localSheetId="29">'Valori Medi'!$A:$E,'Valori Medi'!$1:$5</definedName>
  </definedNames>
  <calcPr calcId="181029" fullPrecision="0"/>
</workbook>
</file>

<file path=xl/calcChain.xml><?xml version="1.0" encoding="utf-8"?>
<calcChain xmlns="http://schemas.openxmlformats.org/spreadsheetml/2006/main">
  <c r="AL10" i="126" l="1"/>
  <c r="AK10" i="126"/>
  <c r="AJ10" i="126"/>
  <c r="AI10" i="126"/>
  <c r="AH10" i="126"/>
  <c r="AG10" i="126"/>
  <c r="AF10" i="126"/>
  <c r="AE10" i="126"/>
  <c r="AD10" i="126"/>
  <c r="AC10" i="126"/>
  <c r="AB10" i="126"/>
  <c r="AA10" i="126"/>
  <c r="D6" i="122"/>
  <c r="C33" i="122"/>
  <c r="C32" i="122"/>
  <c r="H34" i="122"/>
  <c r="H33" i="122"/>
  <c r="H32" i="122"/>
  <c r="H31" i="122"/>
  <c r="H30" i="122"/>
  <c r="H7" i="122" s="1"/>
  <c r="H25" i="122"/>
  <c r="H24" i="122"/>
  <c r="H22" i="122"/>
  <c r="H21" i="122"/>
  <c r="H20" i="122"/>
  <c r="H19" i="122"/>
  <c r="C20" i="122"/>
  <c r="C19" i="122"/>
  <c r="H14" i="122"/>
  <c r="H13" i="122"/>
  <c r="C14" i="122"/>
  <c r="C13" i="122"/>
  <c r="C29" i="122"/>
  <c r="C28" i="122"/>
  <c r="G34" i="122"/>
  <c r="G33" i="122"/>
  <c r="G30" i="122"/>
  <c r="G29" i="122"/>
  <c r="G28" i="122"/>
  <c r="G25" i="122"/>
  <c r="G24" i="122"/>
  <c r="G22" i="122"/>
  <c r="G18" i="122"/>
  <c r="G12" i="122"/>
  <c r="G7" i="122" s="1"/>
  <c r="C12" i="122"/>
  <c r="F34" i="122"/>
  <c r="F33" i="122"/>
  <c r="F25" i="122"/>
  <c r="F24" i="122"/>
  <c r="F22" i="122"/>
  <c r="F17" i="122"/>
  <c r="F11" i="122"/>
  <c r="F7" i="122" s="1"/>
  <c r="C11" i="122"/>
  <c r="E34" i="122"/>
  <c r="E33" i="122"/>
  <c r="E27" i="122"/>
  <c r="C27" i="122"/>
  <c r="E25" i="122"/>
  <c r="C25" i="122"/>
  <c r="E24" i="122"/>
  <c r="E7" i="122" s="1"/>
  <c r="E5" i="122" s="1"/>
  <c r="E22" i="122"/>
  <c r="E16" i="122"/>
  <c r="E10" i="122"/>
  <c r="C10" i="122"/>
  <c r="D34" i="122"/>
  <c r="C34" i="122"/>
  <c r="D33" i="122"/>
  <c r="D26" i="122"/>
  <c r="C26" i="122"/>
  <c r="D24" i="122"/>
  <c r="C24" i="122"/>
  <c r="D22" i="122"/>
  <c r="D15" i="122"/>
  <c r="D9" i="122"/>
  <c r="C9" i="122"/>
  <c r="H6" i="122"/>
  <c r="H36" i="122" s="1"/>
  <c r="G6" i="122"/>
  <c r="G36" i="122" s="1"/>
  <c r="F6" i="122"/>
  <c r="F36" i="122" s="1"/>
  <c r="E6" i="122"/>
  <c r="N17" i="120"/>
  <c r="N15" i="120"/>
  <c r="N13" i="120"/>
  <c r="G5" i="120"/>
  <c r="G112" i="120"/>
  <c r="N111" i="120"/>
  <c r="M111" i="120"/>
  <c r="L111" i="120"/>
  <c r="K111" i="120"/>
  <c r="G109" i="120"/>
  <c r="N108" i="120"/>
  <c r="M108" i="120"/>
  <c r="L108" i="120"/>
  <c r="K108" i="120"/>
  <c r="N104" i="120"/>
  <c r="M104" i="120"/>
  <c r="L104" i="120"/>
  <c r="K104" i="120"/>
  <c r="N102" i="120"/>
  <c r="M102" i="120"/>
  <c r="L102" i="120"/>
  <c r="K102" i="120"/>
  <c r="N100" i="120"/>
  <c r="M100" i="120"/>
  <c r="L100" i="120"/>
  <c r="K100" i="120"/>
  <c r="N98" i="120"/>
  <c r="M98" i="120"/>
  <c r="L98" i="120"/>
  <c r="K98" i="120"/>
  <c r="N96" i="120"/>
  <c r="M96" i="120"/>
  <c r="L96" i="120"/>
  <c r="K96" i="120"/>
  <c r="N94" i="120"/>
  <c r="M94" i="120"/>
  <c r="L94" i="120"/>
  <c r="K94" i="120"/>
  <c r="N92" i="120"/>
  <c r="M92" i="120"/>
  <c r="L92" i="120"/>
  <c r="K92" i="120"/>
  <c r="G90" i="120"/>
  <c r="N88" i="120"/>
  <c r="M88" i="120"/>
  <c r="L88" i="120"/>
  <c r="K88" i="120"/>
  <c r="N86" i="120"/>
  <c r="M86" i="120"/>
  <c r="L86" i="120"/>
  <c r="K86" i="120"/>
  <c r="N84" i="120"/>
  <c r="M84" i="120"/>
  <c r="L84" i="120"/>
  <c r="K84" i="120"/>
  <c r="N82" i="120"/>
  <c r="M82" i="120"/>
  <c r="L82" i="120"/>
  <c r="K82" i="120"/>
  <c r="N80" i="120"/>
  <c r="M80" i="120"/>
  <c r="L80" i="120"/>
  <c r="K80" i="120"/>
  <c r="N78" i="120"/>
  <c r="M78" i="120"/>
  <c r="L78" i="120"/>
  <c r="K78" i="120"/>
  <c r="N76" i="120"/>
  <c r="M76" i="120"/>
  <c r="L76" i="120"/>
  <c r="K76" i="120"/>
  <c r="N74" i="120"/>
  <c r="M74" i="120"/>
  <c r="L74" i="120"/>
  <c r="K74" i="120"/>
  <c r="N72" i="120"/>
  <c r="M72" i="120"/>
  <c r="L72" i="120"/>
  <c r="K72" i="120"/>
  <c r="N70" i="120"/>
  <c r="M70" i="120"/>
  <c r="L70" i="120"/>
  <c r="K70" i="120"/>
  <c r="N68" i="120"/>
  <c r="M68" i="120"/>
  <c r="L68" i="120"/>
  <c r="K68" i="120"/>
  <c r="N64" i="120"/>
  <c r="M64" i="120"/>
  <c r="L64" i="120"/>
  <c r="K64" i="120"/>
  <c r="N62" i="120"/>
  <c r="M62" i="120"/>
  <c r="L62" i="120"/>
  <c r="K62" i="120"/>
  <c r="N60" i="120"/>
  <c r="M60" i="120"/>
  <c r="L60" i="120"/>
  <c r="K60" i="120"/>
  <c r="N58" i="120"/>
  <c r="M58" i="120"/>
  <c r="L58" i="120"/>
  <c r="K58" i="120"/>
  <c r="N56" i="120"/>
  <c r="M56" i="120"/>
  <c r="L56" i="120"/>
  <c r="K56" i="120"/>
  <c r="N54" i="120"/>
  <c r="M54" i="120"/>
  <c r="L54" i="120"/>
  <c r="K54" i="120"/>
  <c r="N49" i="120"/>
  <c r="M49" i="120"/>
  <c r="L49" i="120"/>
  <c r="K49" i="120"/>
  <c r="N47" i="120"/>
  <c r="M47" i="120"/>
  <c r="L47" i="120"/>
  <c r="K47" i="120"/>
  <c r="N45" i="120"/>
  <c r="M45" i="120"/>
  <c r="L45" i="120"/>
  <c r="K45" i="120"/>
  <c r="N43" i="120"/>
  <c r="M43" i="120"/>
  <c r="L43" i="120"/>
  <c r="K43" i="120"/>
  <c r="N41" i="120"/>
  <c r="M41" i="120"/>
  <c r="L41" i="120"/>
  <c r="K41" i="120"/>
  <c r="N39" i="120"/>
  <c r="M39" i="120"/>
  <c r="L39" i="120"/>
  <c r="K39" i="120"/>
  <c r="N35" i="120"/>
  <c r="M35" i="120"/>
  <c r="L35" i="120"/>
  <c r="K35" i="120"/>
  <c r="N33" i="120"/>
  <c r="M33" i="120"/>
  <c r="L33" i="120"/>
  <c r="K33" i="120"/>
  <c r="N31" i="120"/>
  <c r="M31" i="120"/>
  <c r="L31" i="120"/>
  <c r="K31" i="120"/>
  <c r="N29" i="120"/>
  <c r="M29" i="120"/>
  <c r="L29" i="120"/>
  <c r="K29" i="120"/>
  <c r="N27" i="120"/>
  <c r="M27" i="120"/>
  <c r="L27" i="120"/>
  <c r="K27" i="120"/>
  <c r="N23" i="120"/>
  <c r="M23" i="120"/>
  <c r="L23" i="120"/>
  <c r="K23" i="120"/>
  <c r="N21" i="120"/>
  <c r="M21" i="120"/>
  <c r="L21" i="120"/>
  <c r="K21" i="120"/>
  <c r="N19" i="120"/>
  <c r="M19" i="120"/>
  <c r="L19" i="120"/>
  <c r="K19" i="120"/>
  <c r="M17" i="120"/>
  <c r="L17" i="120"/>
  <c r="K17" i="120"/>
  <c r="M15" i="120"/>
  <c r="L15" i="120"/>
  <c r="K15" i="120"/>
  <c r="M13" i="120"/>
  <c r="L13" i="120"/>
  <c r="K13" i="120"/>
  <c r="N8" i="120"/>
  <c r="G100" i="120" s="1"/>
  <c r="N17" i="119"/>
  <c r="N15" i="119"/>
  <c r="N13" i="119"/>
  <c r="G17" i="119"/>
  <c r="G5" i="119"/>
  <c r="G83" i="119"/>
  <c r="N82" i="119"/>
  <c r="M82" i="119"/>
  <c r="L82" i="119"/>
  <c r="K82" i="119"/>
  <c r="G80" i="119"/>
  <c r="N79" i="119"/>
  <c r="M79" i="119"/>
  <c r="L79" i="119"/>
  <c r="K79" i="119"/>
  <c r="N75" i="119"/>
  <c r="M75" i="119"/>
  <c r="L75" i="119"/>
  <c r="K75" i="119"/>
  <c r="N73" i="119"/>
  <c r="M73" i="119"/>
  <c r="L73" i="119"/>
  <c r="K73" i="119"/>
  <c r="N71" i="119"/>
  <c r="M71" i="119"/>
  <c r="L71" i="119"/>
  <c r="K71" i="119"/>
  <c r="N69" i="119"/>
  <c r="M69" i="119"/>
  <c r="L69" i="119"/>
  <c r="K69" i="119"/>
  <c r="N67" i="119"/>
  <c r="M67" i="119"/>
  <c r="L67" i="119"/>
  <c r="K67" i="119"/>
  <c r="N65" i="119"/>
  <c r="M65" i="119"/>
  <c r="L65" i="119"/>
  <c r="K65" i="119"/>
  <c r="N63" i="119"/>
  <c r="M63" i="119"/>
  <c r="L63" i="119"/>
  <c r="K63" i="119"/>
  <c r="G61" i="119"/>
  <c r="N59" i="119"/>
  <c r="M59" i="119"/>
  <c r="L59" i="119"/>
  <c r="K59" i="119"/>
  <c r="N57" i="119"/>
  <c r="M57" i="119"/>
  <c r="L57" i="119"/>
  <c r="K57" i="119"/>
  <c r="N55" i="119"/>
  <c r="M55" i="119"/>
  <c r="L55" i="119"/>
  <c r="K55" i="119"/>
  <c r="N53" i="119"/>
  <c r="M53" i="119"/>
  <c r="L53" i="119"/>
  <c r="K53" i="119"/>
  <c r="N51" i="119"/>
  <c r="M51" i="119"/>
  <c r="L51" i="119"/>
  <c r="K51" i="119"/>
  <c r="N49" i="119"/>
  <c r="M49" i="119"/>
  <c r="L49" i="119"/>
  <c r="K49" i="119"/>
  <c r="N47" i="119"/>
  <c r="M47" i="119"/>
  <c r="L47" i="119"/>
  <c r="K47" i="119"/>
  <c r="N43" i="119"/>
  <c r="M43" i="119"/>
  <c r="L43" i="119"/>
  <c r="K43" i="119"/>
  <c r="N41" i="119"/>
  <c r="M41" i="119"/>
  <c r="L41" i="119"/>
  <c r="K41" i="119"/>
  <c r="N39" i="119"/>
  <c r="M39" i="119"/>
  <c r="L39" i="119"/>
  <c r="K39" i="119"/>
  <c r="N37" i="119"/>
  <c r="M37" i="119"/>
  <c r="L37" i="119"/>
  <c r="K37" i="119"/>
  <c r="N35" i="119"/>
  <c r="M35" i="119"/>
  <c r="L35" i="119"/>
  <c r="K35" i="119"/>
  <c r="N33" i="119"/>
  <c r="M33" i="119"/>
  <c r="L33" i="119"/>
  <c r="K33" i="119"/>
  <c r="N31" i="119"/>
  <c r="M31" i="119"/>
  <c r="L31" i="119"/>
  <c r="K31" i="119"/>
  <c r="N29" i="119"/>
  <c r="M29" i="119"/>
  <c r="L29" i="119"/>
  <c r="K29" i="119"/>
  <c r="N25" i="119"/>
  <c r="M25" i="119"/>
  <c r="L25" i="119"/>
  <c r="K25" i="119"/>
  <c r="N23" i="119"/>
  <c r="M23" i="119"/>
  <c r="L23" i="119"/>
  <c r="K23" i="119"/>
  <c r="N19" i="119"/>
  <c r="M19" i="119"/>
  <c r="L19" i="119"/>
  <c r="K19" i="119"/>
  <c r="M17" i="119"/>
  <c r="L17" i="119"/>
  <c r="K17" i="119"/>
  <c r="M15" i="119"/>
  <c r="L15" i="119"/>
  <c r="K15" i="119"/>
  <c r="M13" i="119"/>
  <c r="L13" i="119"/>
  <c r="K13" i="119"/>
  <c r="N8" i="119"/>
  <c r="G71" i="119" s="1"/>
  <c r="N17" i="118"/>
  <c r="N15" i="118"/>
  <c r="N13" i="118"/>
  <c r="G13" i="118"/>
  <c r="G5" i="118"/>
  <c r="G95" i="118"/>
  <c r="N94" i="118"/>
  <c r="M94" i="118"/>
  <c r="L94" i="118"/>
  <c r="K94" i="118"/>
  <c r="G92" i="118"/>
  <c r="N91" i="118"/>
  <c r="M91" i="118"/>
  <c r="L91" i="118"/>
  <c r="K91" i="118"/>
  <c r="N87" i="118"/>
  <c r="M87" i="118"/>
  <c r="L87" i="118"/>
  <c r="K87" i="118"/>
  <c r="N85" i="118"/>
  <c r="M85" i="118"/>
  <c r="L85" i="118"/>
  <c r="K85" i="118"/>
  <c r="N83" i="118"/>
  <c r="M83" i="118"/>
  <c r="L83" i="118"/>
  <c r="K83" i="118"/>
  <c r="N81" i="118"/>
  <c r="M81" i="118"/>
  <c r="L81" i="118"/>
  <c r="K81" i="118"/>
  <c r="N79" i="118"/>
  <c r="M79" i="118"/>
  <c r="L79" i="118"/>
  <c r="K79" i="118"/>
  <c r="N77" i="118"/>
  <c r="M77" i="118"/>
  <c r="L77" i="118"/>
  <c r="K77" i="118"/>
  <c r="G77" i="118"/>
  <c r="N75" i="118"/>
  <c r="M75" i="118"/>
  <c r="L75" i="118"/>
  <c r="K75" i="118"/>
  <c r="G73" i="118"/>
  <c r="N71" i="118"/>
  <c r="M71" i="118"/>
  <c r="L71" i="118"/>
  <c r="K71" i="118"/>
  <c r="N69" i="118"/>
  <c r="M69" i="118"/>
  <c r="L69" i="118"/>
  <c r="K69" i="118"/>
  <c r="N67" i="118"/>
  <c r="M67" i="118"/>
  <c r="L67" i="118"/>
  <c r="K67" i="118"/>
  <c r="N65" i="118"/>
  <c r="M65" i="118"/>
  <c r="L65" i="118"/>
  <c r="K65" i="118"/>
  <c r="N63" i="118"/>
  <c r="M63" i="118"/>
  <c r="L63" i="118"/>
  <c r="K63" i="118"/>
  <c r="N61" i="118"/>
  <c r="M61" i="118"/>
  <c r="L61" i="118"/>
  <c r="K61" i="118"/>
  <c r="N59" i="118"/>
  <c r="M59" i="118"/>
  <c r="L59" i="118"/>
  <c r="K59" i="118"/>
  <c r="N55" i="118"/>
  <c r="M55" i="118"/>
  <c r="L55" i="118"/>
  <c r="K55" i="118"/>
  <c r="N53" i="118"/>
  <c r="M53" i="118"/>
  <c r="L53" i="118"/>
  <c r="K53" i="118"/>
  <c r="N51" i="118"/>
  <c r="M51" i="118"/>
  <c r="L51" i="118"/>
  <c r="K51" i="118"/>
  <c r="N49" i="118"/>
  <c r="M49" i="118"/>
  <c r="L49" i="118"/>
  <c r="K49" i="118"/>
  <c r="N47" i="118"/>
  <c r="M47" i="118"/>
  <c r="L47" i="118"/>
  <c r="K47" i="118"/>
  <c r="N45" i="118"/>
  <c r="M45" i="118"/>
  <c r="L45" i="118"/>
  <c r="K45" i="118"/>
  <c r="N43" i="118"/>
  <c r="M43" i="118"/>
  <c r="L43" i="118"/>
  <c r="K43" i="118"/>
  <c r="N41" i="118"/>
  <c r="M41" i="118"/>
  <c r="L41" i="118"/>
  <c r="K41" i="118"/>
  <c r="N39" i="118"/>
  <c r="M39" i="118"/>
  <c r="L39" i="118"/>
  <c r="K39" i="118"/>
  <c r="N37" i="118"/>
  <c r="M37" i="118"/>
  <c r="L37" i="118"/>
  <c r="K37" i="118"/>
  <c r="N35" i="118"/>
  <c r="M35" i="118"/>
  <c r="L35" i="118"/>
  <c r="K35" i="118"/>
  <c r="G35" i="118"/>
  <c r="N33" i="118"/>
  <c r="M33" i="118"/>
  <c r="L33" i="118"/>
  <c r="K33" i="118"/>
  <c r="N31" i="118"/>
  <c r="M31" i="118"/>
  <c r="L31" i="118"/>
  <c r="K31" i="118"/>
  <c r="N29" i="118"/>
  <c r="M29" i="118"/>
  <c r="L29" i="118"/>
  <c r="K29" i="118"/>
  <c r="N25" i="118"/>
  <c r="M25" i="118"/>
  <c r="L25" i="118"/>
  <c r="K25" i="118"/>
  <c r="N23" i="118"/>
  <c r="M23" i="118"/>
  <c r="L23" i="118"/>
  <c r="K23" i="118"/>
  <c r="N19" i="118"/>
  <c r="M19" i="118"/>
  <c r="L19" i="118"/>
  <c r="K19" i="118"/>
  <c r="M17" i="118"/>
  <c r="L17" i="118"/>
  <c r="K17" i="118"/>
  <c r="M15" i="118"/>
  <c r="L15" i="118"/>
  <c r="K15" i="118"/>
  <c r="M13" i="118"/>
  <c r="L13" i="118"/>
  <c r="K13" i="118"/>
  <c r="N8" i="118"/>
  <c r="G83" i="118" s="1"/>
  <c r="N17" i="117"/>
  <c r="N15" i="117"/>
  <c r="N13" i="117"/>
  <c r="G17" i="117"/>
  <c r="G15" i="117"/>
  <c r="G13" i="117"/>
  <c r="G5" i="117"/>
  <c r="G85" i="117"/>
  <c r="N84" i="117"/>
  <c r="M84" i="117"/>
  <c r="L84" i="117"/>
  <c r="K84" i="117"/>
  <c r="G82" i="117"/>
  <c r="N81" i="117"/>
  <c r="M81" i="117"/>
  <c r="L81" i="117"/>
  <c r="K81" i="117"/>
  <c r="N77" i="117"/>
  <c r="M77" i="117"/>
  <c r="L77" i="117"/>
  <c r="K77" i="117"/>
  <c r="N75" i="117"/>
  <c r="M75" i="117"/>
  <c r="L75" i="117"/>
  <c r="K75" i="117"/>
  <c r="N73" i="117"/>
  <c r="M73" i="117"/>
  <c r="L73" i="117"/>
  <c r="K73" i="117"/>
  <c r="N71" i="117"/>
  <c r="M71" i="117"/>
  <c r="L71" i="117"/>
  <c r="K71" i="117"/>
  <c r="N69" i="117"/>
  <c r="M69" i="117"/>
  <c r="L69" i="117"/>
  <c r="K69" i="117"/>
  <c r="N67" i="117"/>
  <c r="M67" i="117"/>
  <c r="L67" i="117"/>
  <c r="K67" i="117"/>
  <c r="N65" i="117"/>
  <c r="M65" i="117"/>
  <c r="L65" i="117"/>
  <c r="K65" i="117"/>
  <c r="G63" i="117"/>
  <c r="N61" i="117"/>
  <c r="M61" i="117"/>
  <c r="L61" i="117"/>
  <c r="K61" i="117"/>
  <c r="N59" i="117"/>
  <c r="M59" i="117"/>
  <c r="L59" i="117"/>
  <c r="K59" i="117"/>
  <c r="N57" i="117"/>
  <c r="M57" i="117"/>
  <c r="L57" i="117"/>
  <c r="K57" i="117"/>
  <c r="N55" i="117"/>
  <c r="M55" i="117"/>
  <c r="L55" i="117"/>
  <c r="K55" i="117"/>
  <c r="N53" i="117"/>
  <c r="M53" i="117"/>
  <c r="L53" i="117"/>
  <c r="K53" i="117"/>
  <c r="N51" i="117"/>
  <c r="M51" i="117"/>
  <c r="L51" i="117"/>
  <c r="K51" i="117"/>
  <c r="N49" i="117"/>
  <c r="M49" i="117"/>
  <c r="L49" i="117"/>
  <c r="K49" i="117"/>
  <c r="N45" i="117"/>
  <c r="M45" i="117"/>
  <c r="L45" i="117"/>
  <c r="K45" i="117"/>
  <c r="N43" i="117"/>
  <c r="M43" i="117"/>
  <c r="L43" i="117"/>
  <c r="K43" i="117"/>
  <c r="N41" i="117"/>
  <c r="M41" i="117"/>
  <c r="L41" i="117"/>
  <c r="K41" i="117"/>
  <c r="G41" i="117"/>
  <c r="N39" i="117"/>
  <c r="M39" i="117"/>
  <c r="L39" i="117"/>
  <c r="K39" i="117"/>
  <c r="N37" i="117"/>
  <c r="M37" i="117"/>
  <c r="L37" i="117"/>
  <c r="K37" i="117"/>
  <c r="N35" i="117"/>
  <c r="M35" i="117"/>
  <c r="L35" i="117"/>
  <c r="K35" i="117"/>
  <c r="N33" i="117"/>
  <c r="M33" i="117"/>
  <c r="L33" i="117"/>
  <c r="K33" i="117"/>
  <c r="N31" i="117"/>
  <c r="M31" i="117"/>
  <c r="L31" i="117"/>
  <c r="K31" i="117"/>
  <c r="N29" i="117"/>
  <c r="M29" i="117"/>
  <c r="L29" i="117"/>
  <c r="K29" i="117"/>
  <c r="N25" i="117"/>
  <c r="M25" i="117"/>
  <c r="L25" i="117"/>
  <c r="K25" i="117"/>
  <c r="N23" i="117"/>
  <c r="M23" i="117"/>
  <c r="L23" i="117"/>
  <c r="K23" i="117"/>
  <c r="N19" i="117"/>
  <c r="M19" i="117"/>
  <c r="L19" i="117"/>
  <c r="K19" i="117"/>
  <c r="M17" i="117"/>
  <c r="L17" i="117"/>
  <c r="K17" i="117"/>
  <c r="M15" i="117"/>
  <c r="L15" i="117"/>
  <c r="K15" i="117"/>
  <c r="M13" i="117"/>
  <c r="L13" i="117"/>
  <c r="K13" i="117"/>
  <c r="N8" i="117"/>
  <c r="G73" i="117" s="1"/>
  <c r="N13" i="116"/>
  <c r="G5" i="116"/>
  <c r="G71" i="116"/>
  <c r="N70" i="116"/>
  <c r="M70" i="116"/>
  <c r="L70" i="116"/>
  <c r="K70" i="116"/>
  <c r="G68" i="116"/>
  <c r="N67" i="116"/>
  <c r="M67" i="116"/>
  <c r="L67" i="116"/>
  <c r="K67" i="116"/>
  <c r="N63" i="116"/>
  <c r="M63" i="116"/>
  <c r="L63" i="116"/>
  <c r="K63" i="116"/>
  <c r="N61" i="116"/>
  <c r="M61" i="116"/>
  <c r="L61" i="116"/>
  <c r="K61" i="116"/>
  <c r="N59" i="116"/>
  <c r="M59" i="116"/>
  <c r="L59" i="116"/>
  <c r="K59" i="116"/>
  <c r="G59" i="116"/>
  <c r="N57" i="116"/>
  <c r="M57" i="116"/>
  <c r="L57" i="116"/>
  <c r="K57" i="116"/>
  <c r="N55" i="116"/>
  <c r="M55" i="116"/>
  <c r="L55" i="116"/>
  <c r="K55" i="116"/>
  <c r="N53" i="116"/>
  <c r="M53" i="116"/>
  <c r="L53" i="116"/>
  <c r="K53" i="116"/>
  <c r="N51" i="116"/>
  <c r="M51" i="116"/>
  <c r="L51" i="116"/>
  <c r="K51" i="116"/>
  <c r="G49" i="116"/>
  <c r="N47" i="116"/>
  <c r="M47" i="116"/>
  <c r="L47" i="116"/>
  <c r="K47" i="116"/>
  <c r="N45" i="116"/>
  <c r="M45" i="116"/>
  <c r="L45" i="116"/>
  <c r="K45" i="116"/>
  <c r="G45" i="116"/>
  <c r="N41" i="116"/>
  <c r="M41" i="116"/>
  <c r="L41" i="116"/>
  <c r="K41" i="116"/>
  <c r="N39" i="116"/>
  <c r="M39" i="116"/>
  <c r="L39" i="116"/>
  <c r="K39" i="116"/>
  <c r="N37" i="116"/>
  <c r="M37" i="116"/>
  <c r="L37" i="116"/>
  <c r="K37" i="116"/>
  <c r="G37" i="116"/>
  <c r="N35" i="116"/>
  <c r="M35" i="116"/>
  <c r="L35" i="116"/>
  <c r="K35" i="116"/>
  <c r="N33" i="116"/>
  <c r="M33" i="116"/>
  <c r="L33" i="116"/>
  <c r="K33" i="116"/>
  <c r="N31" i="116"/>
  <c r="M31" i="116"/>
  <c r="L31" i="116"/>
  <c r="K31" i="116"/>
  <c r="N29" i="116"/>
  <c r="M29" i="116"/>
  <c r="L29" i="116"/>
  <c r="K29" i="116"/>
  <c r="N27" i="116"/>
  <c r="M27" i="116"/>
  <c r="L27" i="116"/>
  <c r="K27" i="116"/>
  <c r="G27" i="116"/>
  <c r="N25" i="116"/>
  <c r="M25" i="116"/>
  <c r="L25" i="116"/>
  <c r="K25" i="116"/>
  <c r="N21" i="116"/>
  <c r="M21" i="116"/>
  <c r="L21" i="116"/>
  <c r="K21" i="116"/>
  <c r="N19" i="116"/>
  <c r="M19" i="116"/>
  <c r="L19" i="116"/>
  <c r="K19" i="116"/>
  <c r="N15" i="116"/>
  <c r="M15" i="116"/>
  <c r="L15" i="116"/>
  <c r="K15" i="116"/>
  <c r="M13" i="116"/>
  <c r="L13" i="116"/>
  <c r="K13" i="116"/>
  <c r="N8" i="116"/>
  <c r="G39" i="116" s="1"/>
  <c r="C51" i="115"/>
  <c r="R50" i="115"/>
  <c r="Q50" i="115"/>
  <c r="S49" i="115"/>
  <c r="G48" i="115"/>
  <c r="G49" i="115" s="1"/>
  <c r="C48" i="115"/>
  <c r="W47" i="115"/>
  <c r="V47" i="115"/>
  <c r="R47" i="115"/>
  <c r="Q47" i="115"/>
  <c r="S46" i="115"/>
  <c r="R46" i="115"/>
  <c r="R44" i="115"/>
  <c r="C43" i="115"/>
  <c r="R42" i="115"/>
  <c r="Q42" i="115"/>
  <c r="S41" i="115"/>
  <c r="R41" i="115"/>
  <c r="Q41" i="115"/>
  <c r="S40" i="115"/>
  <c r="R40" i="115"/>
  <c r="Q40" i="115"/>
  <c r="S39" i="115"/>
  <c r="R39" i="115"/>
  <c r="Q39" i="115"/>
  <c r="S38" i="115"/>
  <c r="R38" i="115"/>
  <c r="Q38" i="115"/>
  <c r="S37" i="115"/>
  <c r="C36" i="115"/>
  <c r="R35" i="115"/>
  <c r="Q35" i="115"/>
  <c r="S34" i="115"/>
  <c r="R34" i="115"/>
  <c r="Q34" i="115"/>
  <c r="S33" i="115"/>
  <c r="R33" i="115"/>
  <c r="Q33" i="115"/>
  <c r="S32" i="115"/>
  <c r="R32" i="115"/>
  <c r="Q32" i="115"/>
  <c r="S31" i="115"/>
  <c r="R31" i="115"/>
  <c r="Q31" i="115"/>
  <c r="S30" i="115"/>
  <c r="R30" i="115"/>
  <c r="Q30" i="115"/>
  <c r="S29" i="115"/>
  <c r="R29" i="115"/>
  <c r="Q29" i="115"/>
  <c r="S28" i="115"/>
  <c r="R28" i="115"/>
  <c r="Q28" i="115"/>
  <c r="S27" i="115"/>
  <c r="R27" i="115"/>
  <c r="Q27" i="115"/>
  <c r="S26" i="115"/>
  <c r="R26" i="115"/>
  <c r="H21" i="115" s="1"/>
  <c r="Q26" i="115"/>
  <c r="H26" i="115"/>
  <c r="S25" i="115"/>
  <c r="R25" i="115"/>
  <c r="Q25" i="115"/>
  <c r="S24" i="115"/>
  <c r="R24" i="115"/>
  <c r="Q24" i="115"/>
  <c r="E24" i="115"/>
  <c r="S23" i="115"/>
  <c r="R23" i="115"/>
  <c r="Q23" i="115"/>
  <c r="G23" i="115"/>
  <c r="G24" i="115" s="1"/>
  <c r="W22" i="115"/>
  <c r="V22" i="115"/>
  <c r="S22" i="115"/>
  <c r="R22" i="115"/>
  <c r="Q22" i="115"/>
  <c r="W21" i="115"/>
  <c r="V21" i="115"/>
  <c r="S21" i="115"/>
  <c r="W20" i="115"/>
  <c r="V20" i="115"/>
  <c r="C20" i="115"/>
  <c r="W19" i="115"/>
  <c r="V19" i="115"/>
  <c r="R19" i="115"/>
  <c r="Q19" i="115"/>
  <c r="W18" i="115"/>
  <c r="V18" i="115"/>
  <c r="S18" i="115"/>
  <c r="R18" i="115"/>
  <c r="Q18" i="115"/>
  <c r="W17" i="115"/>
  <c r="V17" i="115"/>
  <c r="S17" i="115"/>
  <c r="R17" i="115"/>
  <c r="Q17" i="115"/>
  <c r="W16" i="115"/>
  <c r="V16" i="115"/>
  <c r="S16" i="115"/>
  <c r="R16" i="115"/>
  <c r="Q16" i="115"/>
  <c r="W15" i="115"/>
  <c r="V15" i="115"/>
  <c r="S15" i="115"/>
  <c r="R15" i="115"/>
  <c r="Q15" i="115"/>
  <c r="W14" i="115"/>
  <c r="V14" i="115"/>
  <c r="S14" i="115"/>
  <c r="R14" i="115"/>
  <c r="Q14" i="115"/>
  <c r="W13" i="115"/>
  <c r="V13" i="115"/>
  <c r="S13" i="115"/>
  <c r="R13" i="115"/>
  <c r="Q13" i="115"/>
  <c r="W12" i="115"/>
  <c r="V12" i="115"/>
  <c r="S12" i="115"/>
  <c r="R12" i="115"/>
  <c r="Q12" i="115"/>
  <c r="W11" i="115"/>
  <c r="V11" i="115"/>
  <c r="S11" i="115"/>
  <c r="R11" i="115"/>
  <c r="Q11" i="115"/>
  <c r="W10" i="115"/>
  <c r="V10" i="115"/>
  <c r="S10" i="115"/>
  <c r="R10" i="115"/>
  <c r="Q10" i="115"/>
  <c r="W9" i="115"/>
  <c r="G2" i="120" s="1"/>
  <c r="V9" i="115"/>
  <c r="S9" i="115"/>
  <c r="H6" i="115" s="1"/>
  <c r="R9" i="115"/>
  <c r="Q9" i="115"/>
  <c r="E7" i="115"/>
  <c r="C42" i="114"/>
  <c r="S41" i="114"/>
  <c r="R41" i="114"/>
  <c r="Q41" i="114"/>
  <c r="S40" i="114"/>
  <c r="R40" i="114"/>
  <c r="Q40" i="114"/>
  <c r="S39" i="114"/>
  <c r="R39" i="114"/>
  <c r="Q39" i="114"/>
  <c r="S38" i="114"/>
  <c r="R38" i="114"/>
  <c r="Q38" i="114"/>
  <c r="S37" i="114"/>
  <c r="R37" i="114"/>
  <c r="Q37" i="114"/>
  <c r="C35" i="114"/>
  <c r="S34" i="114"/>
  <c r="R34" i="114"/>
  <c r="Q34" i="114"/>
  <c r="S33" i="114"/>
  <c r="R33" i="114"/>
  <c r="Q33" i="114"/>
  <c r="S32" i="114"/>
  <c r="R32" i="114"/>
  <c r="Q32" i="114"/>
  <c r="S31" i="114"/>
  <c r="R31" i="114"/>
  <c r="Q31" i="114"/>
  <c r="S30" i="114"/>
  <c r="R30" i="114"/>
  <c r="Q30" i="114"/>
  <c r="S29" i="114"/>
  <c r="R29" i="114"/>
  <c r="Q29" i="114"/>
  <c r="S28" i="114"/>
  <c r="R28" i="114"/>
  <c r="Q28" i="114"/>
  <c r="S27" i="114"/>
  <c r="R27" i="114"/>
  <c r="Q27" i="114"/>
  <c r="S26" i="114"/>
  <c r="R26" i="114"/>
  <c r="Q26" i="114"/>
  <c r="S25" i="114"/>
  <c r="R25" i="114"/>
  <c r="Q25" i="114"/>
  <c r="S24" i="114"/>
  <c r="R24" i="114"/>
  <c r="Q24" i="114"/>
  <c r="S23" i="114"/>
  <c r="R23" i="114"/>
  <c r="Q23" i="114"/>
  <c r="S22" i="114"/>
  <c r="R22" i="114"/>
  <c r="Q22" i="114"/>
  <c r="S21" i="114"/>
  <c r="R21" i="114"/>
  <c r="Q21" i="114"/>
  <c r="C19" i="114"/>
  <c r="S18" i="114"/>
  <c r="R18" i="114"/>
  <c r="Q18" i="114"/>
  <c r="S17" i="114"/>
  <c r="R17" i="114"/>
  <c r="Q17" i="114"/>
  <c r="S16" i="114"/>
  <c r="R16" i="114"/>
  <c r="Q16" i="114"/>
  <c r="G16" i="114"/>
  <c r="G17" i="114" s="1"/>
  <c r="G44" i="114" s="1"/>
  <c r="H19" i="114" s="1"/>
  <c r="W15" i="114"/>
  <c r="V15" i="114"/>
  <c r="S15" i="114"/>
  <c r="R15" i="114"/>
  <c r="Q15" i="114"/>
  <c r="W14" i="114"/>
  <c r="V14" i="114"/>
  <c r="S14" i="114"/>
  <c r="R14" i="114"/>
  <c r="Q14" i="114"/>
  <c r="W13" i="114"/>
  <c r="V13" i="114"/>
  <c r="S13" i="114"/>
  <c r="R13" i="114"/>
  <c r="Q13" i="114"/>
  <c r="W12" i="114"/>
  <c r="V12" i="114"/>
  <c r="S12" i="114"/>
  <c r="R12" i="114"/>
  <c r="Q12" i="114"/>
  <c r="W11" i="114"/>
  <c r="V11" i="114"/>
  <c r="S11" i="114"/>
  <c r="R11" i="114"/>
  <c r="Q11" i="114"/>
  <c r="W10" i="114"/>
  <c r="V10" i="114"/>
  <c r="S10" i="114"/>
  <c r="R10" i="114"/>
  <c r="H23" i="114" s="1"/>
  <c r="Q10" i="114"/>
  <c r="W9" i="114"/>
  <c r="G2" i="119" s="1"/>
  <c r="V9" i="114"/>
  <c r="S9" i="114"/>
  <c r="R9" i="114"/>
  <c r="Q9" i="114"/>
  <c r="E7" i="114"/>
  <c r="C40" i="113"/>
  <c r="C41" i="113" s="1"/>
  <c r="S39" i="113"/>
  <c r="R39" i="113"/>
  <c r="Q39" i="113"/>
  <c r="S38" i="113"/>
  <c r="R38" i="113"/>
  <c r="Q38" i="113"/>
  <c r="S37" i="113"/>
  <c r="R37" i="113"/>
  <c r="Q37" i="113"/>
  <c r="S36" i="113"/>
  <c r="R36" i="113"/>
  <c r="Q36" i="113"/>
  <c r="S35" i="113"/>
  <c r="R35" i="113"/>
  <c r="Q35" i="113"/>
  <c r="C33" i="113"/>
  <c r="S32" i="113"/>
  <c r="R32" i="113"/>
  <c r="Q32" i="113"/>
  <c r="S31" i="113"/>
  <c r="R31" i="113"/>
  <c r="Q31" i="113"/>
  <c r="S30" i="113"/>
  <c r="R30" i="113"/>
  <c r="Q30" i="113"/>
  <c r="S29" i="113"/>
  <c r="R29" i="113"/>
  <c r="Q29" i="113"/>
  <c r="S28" i="113"/>
  <c r="R28" i="113"/>
  <c r="Q28" i="113"/>
  <c r="S27" i="113"/>
  <c r="R27" i="113"/>
  <c r="Q27" i="113"/>
  <c r="S26" i="113"/>
  <c r="R26" i="113"/>
  <c r="Q26" i="113"/>
  <c r="S25" i="113"/>
  <c r="R25" i="113"/>
  <c r="Q25" i="113"/>
  <c r="S24" i="113"/>
  <c r="R24" i="113"/>
  <c r="Q24" i="113"/>
  <c r="S23" i="113"/>
  <c r="R23" i="113"/>
  <c r="Q23" i="113"/>
  <c r="S22" i="113"/>
  <c r="R22" i="113"/>
  <c r="Q22" i="113"/>
  <c r="S21" i="113"/>
  <c r="R21" i="113"/>
  <c r="Q21" i="113"/>
  <c r="C19" i="113"/>
  <c r="S18" i="113"/>
  <c r="R18" i="113"/>
  <c r="Q18" i="113"/>
  <c r="S17" i="113"/>
  <c r="R17" i="113"/>
  <c r="Q17" i="113"/>
  <c r="S16" i="113"/>
  <c r="R16" i="113"/>
  <c r="Q16" i="113"/>
  <c r="G16" i="113"/>
  <c r="G17" i="113" s="1"/>
  <c r="G42" i="113" s="1"/>
  <c r="H20" i="113" s="1"/>
  <c r="W15" i="113"/>
  <c r="V15" i="113"/>
  <c r="S15" i="113"/>
  <c r="R15" i="113"/>
  <c r="Q15" i="113"/>
  <c r="W14" i="113"/>
  <c r="V14" i="113"/>
  <c r="S14" i="113"/>
  <c r="R14" i="113"/>
  <c r="Q14" i="113"/>
  <c r="W13" i="113"/>
  <c r="V13" i="113"/>
  <c r="S13" i="113"/>
  <c r="R13" i="113"/>
  <c r="Q13" i="113"/>
  <c r="W12" i="113"/>
  <c r="V12" i="113"/>
  <c r="S12" i="113"/>
  <c r="R12" i="113"/>
  <c r="Q12" i="113"/>
  <c r="W11" i="113"/>
  <c r="V11" i="113"/>
  <c r="S11" i="113"/>
  <c r="R11" i="113"/>
  <c r="Q11" i="113"/>
  <c r="W10" i="113"/>
  <c r="V10" i="113"/>
  <c r="S10" i="113"/>
  <c r="R10" i="113"/>
  <c r="Q10" i="113"/>
  <c r="W9" i="113"/>
  <c r="G2" i="118" s="1"/>
  <c r="V9" i="113"/>
  <c r="S9" i="113"/>
  <c r="H6" i="113" s="1"/>
  <c r="R9" i="113"/>
  <c r="H23" i="113" s="1"/>
  <c r="Q9" i="113"/>
  <c r="E7" i="113"/>
  <c r="C41" i="112"/>
  <c r="S40" i="112"/>
  <c r="R40" i="112"/>
  <c r="Q40" i="112"/>
  <c r="S39" i="112"/>
  <c r="R39" i="112"/>
  <c r="Q39" i="112"/>
  <c r="S38" i="112"/>
  <c r="R38" i="112"/>
  <c r="Q38" i="112"/>
  <c r="S37" i="112"/>
  <c r="R37" i="112"/>
  <c r="Q37" i="112"/>
  <c r="S36" i="112"/>
  <c r="R36" i="112"/>
  <c r="Q36" i="112"/>
  <c r="C34" i="112"/>
  <c r="S33" i="112"/>
  <c r="R33" i="112"/>
  <c r="Q33" i="112"/>
  <c r="S32" i="112"/>
  <c r="R32" i="112"/>
  <c r="Q32" i="112"/>
  <c r="S31" i="112"/>
  <c r="R31" i="112"/>
  <c r="Q31" i="112"/>
  <c r="S30" i="112"/>
  <c r="R30" i="112"/>
  <c r="Q30" i="112"/>
  <c r="S29" i="112"/>
  <c r="R29" i="112"/>
  <c r="Q29" i="112"/>
  <c r="S28" i="112"/>
  <c r="R28" i="112"/>
  <c r="Q28" i="112"/>
  <c r="S27" i="112"/>
  <c r="R27" i="112"/>
  <c r="Q27" i="112"/>
  <c r="S26" i="112"/>
  <c r="R26" i="112"/>
  <c r="Q26" i="112"/>
  <c r="S25" i="112"/>
  <c r="R25" i="112"/>
  <c r="Q25" i="112"/>
  <c r="S24" i="112"/>
  <c r="R24" i="112"/>
  <c r="Q24" i="112"/>
  <c r="S23" i="112"/>
  <c r="R23" i="112"/>
  <c r="Q23" i="112"/>
  <c r="S22" i="112"/>
  <c r="R22" i="112"/>
  <c r="Q22" i="112"/>
  <c r="S21" i="112"/>
  <c r="R21" i="112"/>
  <c r="Q21" i="112"/>
  <c r="C19" i="112"/>
  <c r="S18" i="112"/>
  <c r="R18" i="112"/>
  <c r="Q18" i="112"/>
  <c r="S17" i="112"/>
  <c r="R17" i="112"/>
  <c r="Q17" i="112"/>
  <c r="S16" i="112"/>
  <c r="R16" i="112"/>
  <c r="Q16" i="112"/>
  <c r="S15" i="112"/>
  <c r="R15" i="112"/>
  <c r="Q15" i="112"/>
  <c r="S14" i="112"/>
  <c r="R14" i="112"/>
  <c r="Q14" i="112"/>
  <c r="G14" i="112"/>
  <c r="G15" i="112" s="1"/>
  <c r="G43" i="112" s="1"/>
  <c r="W13" i="112"/>
  <c r="V13" i="112"/>
  <c r="S13" i="112"/>
  <c r="R13" i="112"/>
  <c r="Q13" i="112"/>
  <c r="W12" i="112"/>
  <c r="V12" i="112"/>
  <c r="S12" i="112"/>
  <c r="R12" i="112"/>
  <c r="Q12" i="112"/>
  <c r="W11" i="112"/>
  <c r="V11" i="112"/>
  <c r="S11" i="112"/>
  <c r="R11" i="112"/>
  <c r="Q11" i="112"/>
  <c r="W10" i="112"/>
  <c r="V10" i="112"/>
  <c r="S10" i="112"/>
  <c r="R10" i="112"/>
  <c r="Q10" i="112"/>
  <c r="W9" i="112"/>
  <c r="G2" i="117" s="1"/>
  <c r="V9" i="112"/>
  <c r="S9" i="112"/>
  <c r="R9" i="112"/>
  <c r="H6" i="112" s="1"/>
  <c r="Q9" i="112"/>
  <c r="H6" i="111"/>
  <c r="C38" i="111"/>
  <c r="S37" i="111"/>
  <c r="R37" i="111"/>
  <c r="Q37" i="111"/>
  <c r="S36" i="111"/>
  <c r="R36" i="111"/>
  <c r="Q36" i="111"/>
  <c r="S35" i="111"/>
  <c r="R35" i="111"/>
  <c r="Q35" i="111"/>
  <c r="S34" i="111"/>
  <c r="R34" i="111"/>
  <c r="Q34" i="111"/>
  <c r="S33" i="111"/>
  <c r="R33" i="111"/>
  <c r="Q33" i="111"/>
  <c r="C31" i="111"/>
  <c r="S30" i="111"/>
  <c r="R30" i="111"/>
  <c r="Q30" i="111"/>
  <c r="S29" i="111"/>
  <c r="R29" i="111"/>
  <c r="Q29" i="111"/>
  <c r="S28" i="111"/>
  <c r="R28" i="111"/>
  <c r="Q28" i="111"/>
  <c r="S27" i="111"/>
  <c r="R27" i="111"/>
  <c r="Q27" i="111"/>
  <c r="S26" i="111"/>
  <c r="R26" i="111"/>
  <c r="Q26" i="111"/>
  <c r="S25" i="111"/>
  <c r="R25" i="111"/>
  <c r="Q25" i="111"/>
  <c r="S24" i="111"/>
  <c r="R24" i="111"/>
  <c r="Q24" i="111"/>
  <c r="S23" i="111"/>
  <c r="R23" i="111"/>
  <c r="Q23" i="111"/>
  <c r="S22" i="111"/>
  <c r="R22" i="111"/>
  <c r="Q22" i="111"/>
  <c r="S21" i="111"/>
  <c r="R21" i="111"/>
  <c r="Q21" i="111"/>
  <c r="C19" i="111"/>
  <c r="S18" i="111"/>
  <c r="R18" i="111"/>
  <c r="Q18" i="111"/>
  <c r="S17" i="111"/>
  <c r="R17" i="111"/>
  <c r="Q17" i="111"/>
  <c r="S16" i="111"/>
  <c r="R16" i="111"/>
  <c r="Q16" i="111"/>
  <c r="S15" i="111"/>
  <c r="R15" i="111"/>
  <c r="H23" i="111" s="1"/>
  <c r="Q15" i="111"/>
  <c r="S14" i="111"/>
  <c r="R14" i="111"/>
  <c r="Q14" i="111"/>
  <c r="G14" i="111"/>
  <c r="G15" i="111" s="1"/>
  <c r="W13" i="111"/>
  <c r="V13" i="111"/>
  <c r="S13" i="111"/>
  <c r="R13" i="111"/>
  <c r="Q13" i="111"/>
  <c r="W12" i="111"/>
  <c r="V12" i="111"/>
  <c r="S12" i="111"/>
  <c r="R12" i="111"/>
  <c r="Q12" i="111"/>
  <c r="W11" i="111"/>
  <c r="V11" i="111"/>
  <c r="S11" i="111"/>
  <c r="R11" i="111"/>
  <c r="Q11" i="111"/>
  <c r="W10" i="111"/>
  <c r="G2" i="116" s="1"/>
  <c r="V10" i="111"/>
  <c r="S10" i="111"/>
  <c r="R10" i="111"/>
  <c r="Q10" i="111"/>
  <c r="W9" i="111"/>
  <c r="V9" i="111"/>
  <c r="S9" i="111"/>
  <c r="R9" i="111"/>
  <c r="Q9" i="111"/>
  <c r="AX8" i="126"/>
  <c r="AX9" i="126"/>
  <c r="AX7" i="126"/>
  <c r="AX10" i="126" s="1"/>
  <c r="O9" i="123" a="1"/>
  <c r="O7" i="123" a="1"/>
  <c r="O8" i="123" a="1"/>
  <c r="C42" i="113" l="1"/>
  <c r="H18" i="113"/>
  <c r="H16" i="113"/>
  <c r="H19" i="113"/>
  <c r="G53" i="115"/>
  <c r="G19" i="116"/>
  <c r="G31" i="120"/>
  <c r="H23" i="112"/>
  <c r="C39" i="111"/>
  <c r="C40" i="111" s="1"/>
  <c r="G13" i="116"/>
  <c r="C52" i="115"/>
  <c r="G53" i="116"/>
  <c r="G69" i="118"/>
  <c r="G13" i="119"/>
  <c r="G63" i="116"/>
  <c r="G59" i="117"/>
  <c r="G15" i="119"/>
  <c r="D7" i="122"/>
  <c r="G33" i="116"/>
  <c r="G70" i="120"/>
  <c r="C43" i="114"/>
  <c r="H6" i="114"/>
  <c r="G51" i="118"/>
  <c r="G13" i="120"/>
  <c r="G15" i="120"/>
  <c r="G17" i="120"/>
  <c r="G49" i="120"/>
  <c r="G94" i="120"/>
  <c r="C42" i="112"/>
  <c r="G15" i="118"/>
  <c r="G17" i="118"/>
  <c r="C44" i="115"/>
  <c r="G23" i="117"/>
  <c r="G67" i="117"/>
  <c r="G86" i="120"/>
  <c r="O9" i="123"/>
  <c r="O8" i="123"/>
  <c r="O7" i="123"/>
  <c r="D5" i="122"/>
  <c r="D35" i="122"/>
  <c r="E35" i="122"/>
  <c r="F35" i="122"/>
  <c r="G35" i="122"/>
  <c r="H35" i="122"/>
  <c r="F5" i="122"/>
  <c r="D36" i="122"/>
  <c r="G5" i="122"/>
  <c r="E36" i="122"/>
  <c r="H5" i="122"/>
  <c r="G23" i="120"/>
  <c r="G43" i="120"/>
  <c r="G62" i="120"/>
  <c r="G80" i="120"/>
  <c r="G104" i="120"/>
  <c r="G35" i="120"/>
  <c r="G56" i="120"/>
  <c r="G74" i="120"/>
  <c r="G98" i="120"/>
  <c r="G29" i="120"/>
  <c r="G47" i="120"/>
  <c r="G68" i="120"/>
  <c r="G84" i="120"/>
  <c r="G92" i="120"/>
  <c r="G21" i="120"/>
  <c r="G41" i="120"/>
  <c r="G60" i="120"/>
  <c r="G78" i="120"/>
  <c r="G102" i="120"/>
  <c r="G33" i="120"/>
  <c r="G54" i="120"/>
  <c r="G72" i="120"/>
  <c r="G88" i="120"/>
  <c r="G96" i="120"/>
  <c r="G27" i="120"/>
  <c r="G45" i="120"/>
  <c r="G64" i="120"/>
  <c r="G82" i="120"/>
  <c r="G19" i="120"/>
  <c r="G39" i="120"/>
  <c r="G58" i="120"/>
  <c r="G76" i="120"/>
  <c r="G39" i="119"/>
  <c r="G57" i="119"/>
  <c r="G65" i="119"/>
  <c r="G33" i="119"/>
  <c r="G51" i="119"/>
  <c r="G75" i="119"/>
  <c r="G19" i="119"/>
  <c r="G25" i="119"/>
  <c r="G43" i="119"/>
  <c r="G69" i="119"/>
  <c r="G37" i="119"/>
  <c r="G55" i="119"/>
  <c r="G63" i="119"/>
  <c r="G31" i="119"/>
  <c r="G49" i="119"/>
  <c r="G73" i="119"/>
  <c r="G23" i="119"/>
  <c r="G41" i="119"/>
  <c r="G59" i="119"/>
  <c r="G67" i="119"/>
  <c r="G35" i="119"/>
  <c r="G53" i="119"/>
  <c r="G29" i="119"/>
  <c r="G47" i="119"/>
  <c r="G29" i="118"/>
  <c r="G45" i="118"/>
  <c r="G63" i="118"/>
  <c r="G87" i="118"/>
  <c r="G19" i="118"/>
  <c r="G39" i="118"/>
  <c r="G55" i="118"/>
  <c r="G81" i="118"/>
  <c r="G33" i="118"/>
  <c r="G49" i="118"/>
  <c r="G67" i="118"/>
  <c r="G75" i="118"/>
  <c r="G25" i="118"/>
  <c r="G43" i="118"/>
  <c r="G61" i="118"/>
  <c r="G85" i="118"/>
  <c r="G37" i="118"/>
  <c r="G53" i="118"/>
  <c r="G71" i="118"/>
  <c r="G79" i="118"/>
  <c r="G31" i="118"/>
  <c r="G47" i="118"/>
  <c r="G65" i="118"/>
  <c r="G23" i="118"/>
  <c r="G41" i="118"/>
  <c r="G59" i="118"/>
  <c r="G35" i="117"/>
  <c r="G53" i="117"/>
  <c r="G77" i="117"/>
  <c r="G29" i="117"/>
  <c r="G45" i="117"/>
  <c r="G71" i="117"/>
  <c r="G19" i="117"/>
  <c r="G39" i="117"/>
  <c r="G57" i="117"/>
  <c r="G65" i="117"/>
  <c r="G33" i="117"/>
  <c r="G51" i="117"/>
  <c r="G75" i="117"/>
  <c r="G25" i="117"/>
  <c r="G43" i="117"/>
  <c r="G61" i="117"/>
  <c r="G69" i="117"/>
  <c r="G37" i="117"/>
  <c r="G55" i="117"/>
  <c r="G31" i="117"/>
  <c r="G49" i="117"/>
  <c r="G31" i="116"/>
  <c r="G57" i="116"/>
  <c r="G25" i="116"/>
  <c r="G41" i="116"/>
  <c r="G51" i="116"/>
  <c r="G15" i="116"/>
  <c r="G35" i="116"/>
  <c r="G61" i="116"/>
  <c r="G29" i="116"/>
  <c r="G47" i="116"/>
  <c r="G55" i="116"/>
  <c r="G21" i="116"/>
  <c r="H17" i="115"/>
  <c r="C53" i="115"/>
  <c r="H15" i="115"/>
  <c r="H16" i="115"/>
  <c r="H18" i="115"/>
  <c r="C44" i="114"/>
  <c r="H15" i="114"/>
  <c r="H18" i="114"/>
  <c r="H16" i="114"/>
  <c r="H13" i="113"/>
  <c r="H17" i="112"/>
  <c r="C43" i="112"/>
  <c r="H18" i="112"/>
  <c r="H19" i="112"/>
  <c r="H20" i="112"/>
  <c r="G40" i="111"/>
  <c r="H20" i="111"/>
  <c r="H17" i="111"/>
  <c r="H18" i="111"/>
  <c r="H19" i="111"/>
  <c r="G8" i="43"/>
  <c r="H8" i="43"/>
  <c r="G9" i="43"/>
  <c r="H9" i="43"/>
  <c r="G10" i="43"/>
  <c r="H10" i="43"/>
  <c r="G11" i="43"/>
  <c r="H11" i="43"/>
  <c r="G12" i="43"/>
  <c r="H12" i="43"/>
  <c r="G13" i="43"/>
  <c r="H13" i="43"/>
  <c r="G14" i="43"/>
  <c r="H14" i="43"/>
  <c r="G15" i="43"/>
  <c r="H15" i="43"/>
  <c r="G16" i="43"/>
  <c r="H16" i="43"/>
  <c r="G17" i="43"/>
  <c r="H17" i="43"/>
  <c r="G18" i="43"/>
  <c r="H18" i="43"/>
  <c r="G19" i="43"/>
  <c r="H19" i="43"/>
  <c r="G20" i="43"/>
  <c r="H20" i="43"/>
  <c r="G21" i="43"/>
  <c r="H21" i="43"/>
  <c r="G22" i="43"/>
  <c r="H22" i="43"/>
  <c r="G23" i="43"/>
  <c r="H23" i="43"/>
  <c r="AZ23" i="43"/>
  <c r="AY23" i="43"/>
  <c r="AZ22" i="43"/>
  <c r="AY22" i="43"/>
  <c r="AZ21" i="43"/>
  <c r="AY21" i="43"/>
  <c r="AZ20" i="43"/>
  <c r="AY20" i="43"/>
  <c r="AZ19" i="43"/>
  <c r="AY19" i="43"/>
  <c r="AZ18" i="43"/>
  <c r="AY18" i="43"/>
  <c r="AZ17" i="43"/>
  <c r="AY17" i="43"/>
  <c r="AZ16" i="43"/>
  <c r="AY16" i="43"/>
  <c r="AZ15" i="43"/>
  <c r="AY15" i="43"/>
  <c r="AZ14" i="43"/>
  <c r="AY14" i="43"/>
  <c r="AZ13" i="43"/>
  <c r="AY13" i="43"/>
  <c r="AZ12" i="43"/>
  <c r="AY12" i="43"/>
  <c r="AZ11" i="43"/>
  <c r="AY11" i="43"/>
  <c r="AZ10" i="43"/>
  <c r="AY10" i="43"/>
  <c r="AZ9" i="43"/>
  <c r="AY9" i="43"/>
  <c r="AZ8" i="43"/>
  <c r="AY8" i="43"/>
  <c r="AG24" i="43"/>
  <c r="AH24" i="43"/>
  <c r="M9" i="126"/>
  <c r="N9" i="126"/>
  <c r="M8" i="126"/>
  <c r="N8" i="126"/>
  <c r="A8" i="126"/>
  <c r="B8" i="126"/>
  <c r="A9" i="126"/>
  <c r="B9" i="126"/>
  <c r="B7" i="126"/>
  <c r="A7" i="126"/>
  <c r="H13" i="112" l="1"/>
  <c r="H13" i="114"/>
  <c r="G24" i="43"/>
  <c r="C239" i="47"/>
  <c r="H13" i="115"/>
  <c r="H13" i="111"/>
  <c r="H24" i="43"/>
  <c r="P6" i="14"/>
  <c r="P7" i="14"/>
  <c r="P8" i="14"/>
  <c r="P9" i="14"/>
  <c r="P10" i="14"/>
  <c r="P11" i="14"/>
  <c r="P12" i="14"/>
  <c r="P13" i="14"/>
  <c r="P14" i="14"/>
  <c r="P15" i="14"/>
  <c r="P16" i="14"/>
  <c r="P17" i="14"/>
  <c r="P18" i="14"/>
  <c r="P19" i="14"/>
  <c r="P20" i="14"/>
  <c r="P21" i="14"/>
  <c r="AN22" i="14"/>
  <c r="Z21" i="43"/>
  <c r="Z20" i="43"/>
  <c r="Z17" i="43"/>
  <c r="Z16" i="43"/>
  <c r="Z12" i="43"/>
  <c r="Z8" i="43"/>
  <c r="Y19" i="43"/>
  <c r="Y15" i="43"/>
  <c r="Y13" i="43"/>
  <c r="Y12" i="43"/>
  <c r="Z23" i="43"/>
  <c r="Y23" i="43"/>
  <c r="Z22" i="43"/>
  <c r="Y22" i="43"/>
  <c r="Y21" i="43"/>
  <c r="Y20" i="43"/>
  <c r="Z19" i="43"/>
  <c r="Z18" i="43"/>
  <c r="Y18" i="43"/>
  <c r="Y17" i="43"/>
  <c r="Y16" i="43"/>
  <c r="Z15" i="43"/>
  <c r="Z14" i="43"/>
  <c r="Y14" i="43"/>
  <c r="Z13" i="43"/>
  <c r="Z11" i="43"/>
  <c r="Y11" i="43"/>
  <c r="Z10" i="43"/>
  <c r="Y10" i="43"/>
  <c r="Z9" i="43"/>
  <c r="Y9" i="43"/>
  <c r="Y8" i="43"/>
  <c r="P22" i="14" l="1"/>
  <c r="F228" i="47"/>
  <c r="G6" i="121"/>
  <c r="F6" i="121"/>
  <c r="E6" i="121"/>
  <c r="E8" i="121" s="1"/>
  <c r="D6" i="121"/>
  <c r="C6" i="121"/>
  <c r="C8" i="121" s="1"/>
  <c r="C4" i="121"/>
  <c r="G9" i="121"/>
  <c r="G7" i="121"/>
  <c r="G8" i="121" s="1"/>
  <c r="G10" i="121" s="1"/>
  <c r="F9" i="121"/>
  <c r="F7" i="121"/>
  <c r="E9" i="121"/>
  <c r="E7" i="121"/>
  <c r="D9" i="121"/>
  <c r="D7" i="121"/>
  <c r="C9" i="121"/>
  <c r="C7" i="121"/>
  <c r="G41" i="123"/>
  <c r="F41" i="123"/>
  <c r="E41" i="123"/>
  <c r="D41" i="123"/>
  <c r="F8" i="121" l="1"/>
  <c r="F10" i="121" s="1"/>
  <c r="D8" i="121"/>
  <c r="H7" i="121"/>
  <c r="E10" i="121"/>
  <c r="D10" i="121"/>
  <c r="H9" i="121"/>
  <c r="H6" i="121"/>
  <c r="H8" i="121"/>
  <c r="C10" i="121"/>
  <c r="G8" i="123"/>
  <c r="G9" i="123"/>
  <c r="D9" i="123"/>
  <c r="E8" i="123"/>
  <c r="F7" i="123"/>
  <c r="F8" i="123"/>
  <c r="E7" i="123"/>
  <c r="F9" i="123"/>
  <c r="D7" i="123"/>
  <c r="G7" i="123"/>
  <c r="D8" i="123"/>
  <c r="E9" i="123"/>
  <c r="G6" i="123" l="1"/>
  <c r="D6" i="123"/>
  <c r="E6" i="123"/>
  <c r="F6" i="123"/>
  <c r="F10" i="123" l="1"/>
  <c r="E10" i="123"/>
  <c r="D10" i="123"/>
  <c r="G10" i="123"/>
  <c r="F12" i="123"/>
  <c r="E12" i="123"/>
  <c r="D12" i="123"/>
  <c r="G12" i="123"/>
  <c r="E13" i="123" l="1"/>
  <c r="G13" i="123"/>
  <c r="F13" i="123"/>
  <c r="D13" i="123"/>
  <c r="E36" i="123"/>
  <c r="E14" i="123"/>
  <c r="E37" i="123"/>
  <c r="F36" i="123"/>
  <c r="F37" i="123"/>
  <c r="F14" i="123"/>
  <c r="G36" i="123"/>
  <c r="G14" i="123"/>
  <c r="G37" i="123"/>
  <c r="D14" i="123"/>
  <c r="D36" i="123"/>
  <c r="D37" i="123"/>
  <c r="D5" i="123" l="1"/>
  <c r="E5" i="123"/>
  <c r="G5" i="123"/>
  <c r="F5" i="123"/>
  <c r="M7" i="126" l="1"/>
  <c r="M10" i="126" s="1"/>
  <c r="N7" i="126"/>
  <c r="N10" i="126" s="1"/>
  <c r="O10" i="126"/>
  <c r="P10" i="126"/>
  <c r="Q10" i="126"/>
  <c r="R10" i="126"/>
  <c r="AR9" i="126"/>
  <c r="AQ9" i="126"/>
  <c r="AR8" i="126"/>
  <c r="AQ8" i="126"/>
  <c r="AR7" i="126"/>
  <c r="AQ7" i="126"/>
  <c r="AP10" i="126"/>
  <c r="AO10" i="126"/>
  <c r="AN10" i="126"/>
  <c r="AM10" i="126"/>
  <c r="B6" i="127"/>
  <c r="A6" i="127"/>
  <c r="B8" i="127"/>
  <c r="B9" i="127"/>
  <c r="B7" i="127"/>
  <c r="A8" i="127"/>
  <c r="A9" i="127"/>
  <c r="A7" i="127"/>
  <c r="K56" i="47"/>
  <c r="AQ10" i="126" l="1"/>
  <c r="AR10" i="126"/>
  <c r="AQ5" i="126"/>
  <c r="A32" i="127"/>
  <c r="L31" i="127"/>
  <c r="F15" i="33" s="1"/>
  <c r="M31" i="127"/>
  <c r="F16" i="33" s="1"/>
  <c r="N31" i="127"/>
  <c r="F17" i="33" s="1"/>
  <c r="O31" i="127"/>
  <c r="F18" i="33" s="1"/>
  <c r="P31" i="127"/>
  <c r="F19" i="33" s="1"/>
  <c r="Q31" i="127"/>
  <c r="F20" i="33" s="1"/>
  <c r="R31" i="127"/>
  <c r="F21" i="33" s="1"/>
  <c r="S26" i="127"/>
  <c r="F17" i="31" s="1"/>
  <c r="S27" i="127"/>
  <c r="H18" i="33" s="1"/>
  <c r="S28" i="127"/>
  <c r="F19" i="31" s="1"/>
  <c r="S29" i="127"/>
  <c r="H20" i="33" s="1"/>
  <c r="S30" i="127"/>
  <c r="F21" i="31" s="1"/>
  <c r="S16" i="127"/>
  <c r="F7" i="31" s="1"/>
  <c r="S17" i="127"/>
  <c r="H8" i="33" s="1"/>
  <c r="S18" i="127"/>
  <c r="F9" i="31" s="1"/>
  <c r="S19" i="127"/>
  <c r="F10" i="31" s="1"/>
  <c r="S20" i="127"/>
  <c r="F11" i="31" s="1"/>
  <c r="S21" i="127"/>
  <c r="F12" i="31" s="1"/>
  <c r="S22" i="127"/>
  <c r="F13" i="31" s="1"/>
  <c r="S23" i="127"/>
  <c r="E14" i="44" s="1"/>
  <c r="S24" i="127"/>
  <c r="H15" i="33" s="1"/>
  <c r="S25" i="127"/>
  <c r="H16" i="33" s="1"/>
  <c r="A26" i="127"/>
  <c r="B26" i="127"/>
  <c r="N14" i="127" s="1"/>
  <c r="A27" i="127"/>
  <c r="B27" i="127"/>
  <c r="O14" i="127" s="1"/>
  <c r="A28" i="127"/>
  <c r="B28" i="127"/>
  <c r="P14" i="127" s="1"/>
  <c r="A29" i="127"/>
  <c r="B29" i="127"/>
  <c r="Q14" i="127" s="1"/>
  <c r="A30" i="127"/>
  <c r="B30" i="127"/>
  <c r="R14" i="127" s="1"/>
  <c r="A16" i="127"/>
  <c r="B16" i="127"/>
  <c r="D14" i="127" s="1"/>
  <c r="A17" i="127"/>
  <c r="B17" i="127"/>
  <c r="E14" i="127" s="1"/>
  <c r="A18" i="127"/>
  <c r="B18" i="127"/>
  <c r="F14" i="127" s="1"/>
  <c r="A19" i="127"/>
  <c r="B19" i="127"/>
  <c r="G14" i="127" s="1"/>
  <c r="A20" i="127"/>
  <c r="B20" i="127"/>
  <c r="H14" i="127" s="1"/>
  <c r="A21" i="127"/>
  <c r="B21" i="127"/>
  <c r="I14" i="127" s="1"/>
  <c r="A22" i="127"/>
  <c r="B22" i="127"/>
  <c r="J14" i="127" s="1"/>
  <c r="A23" i="127"/>
  <c r="B23" i="127"/>
  <c r="K14" i="127" s="1"/>
  <c r="A24" i="127"/>
  <c r="B24" i="127"/>
  <c r="L14" i="127" s="1"/>
  <c r="A25" i="127"/>
  <c r="B25" i="127"/>
  <c r="M14" i="127" s="1"/>
  <c r="B15" i="127"/>
  <c r="C14" i="127" s="1"/>
  <c r="A15" i="127"/>
  <c r="S15" i="127"/>
  <c r="F6" i="31" s="1"/>
  <c r="C31" i="127"/>
  <c r="F6" i="33" s="1"/>
  <c r="D31" i="127"/>
  <c r="F7" i="33" s="1"/>
  <c r="E31" i="127"/>
  <c r="F8" i="33" s="1"/>
  <c r="F31" i="127"/>
  <c r="F9" i="33" s="1"/>
  <c r="G31" i="127"/>
  <c r="G10" i="48" s="1"/>
  <c r="H31" i="127"/>
  <c r="G11" i="31" s="1"/>
  <c r="I31" i="127"/>
  <c r="G12" i="48" s="1"/>
  <c r="J31" i="127"/>
  <c r="F13" i="33" s="1"/>
  <c r="K31" i="127"/>
  <c r="F14" i="33" s="1"/>
  <c r="C6" i="2"/>
  <c r="D6" i="2"/>
  <c r="E6" i="2"/>
  <c r="F6" i="2"/>
  <c r="G6" i="2"/>
  <c r="H6" i="2"/>
  <c r="I6" i="2"/>
  <c r="J6" i="2"/>
  <c r="C7" i="2"/>
  <c r="D7" i="2"/>
  <c r="E7" i="2"/>
  <c r="F7" i="2"/>
  <c r="G7" i="2"/>
  <c r="H7" i="2"/>
  <c r="I7" i="2"/>
  <c r="J7" i="2"/>
  <c r="L9" i="126"/>
  <c r="K9" i="126"/>
  <c r="J9" i="126"/>
  <c r="I9" i="126"/>
  <c r="H9" i="126"/>
  <c r="G9" i="126"/>
  <c r="F9" i="126"/>
  <c r="E9" i="126"/>
  <c r="D9" i="126"/>
  <c r="C9" i="126"/>
  <c r="L8" i="126"/>
  <c r="K8" i="126"/>
  <c r="J8" i="126"/>
  <c r="I8" i="126"/>
  <c r="H8" i="126"/>
  <c r="G8" i="126"/>
  <c r="F8" i="126"/>
  <c r="E8" i="126"/>
  <c r="D8" i="126"/>
  <c r="C8" i="126"/>
  <c r="L7" i="126"/>
  <c r="K7" i="126"/>
  <c r="J7" i="126"/>
  <c r="I7" i="126"/>
  <c r="H7" i="126"/>
  <c r="G7" i="126"/>
  <c r="F7" i="126"/>
  <c r="E7" i="126"/>
  <c r="D7" i="126"/>
  <c r="C7" i="126"/>
  <c r="AI8" i="15"/>
  <c r="AI9" i="15"/>
  <c r="AI10" i="15"/>
  <c r="AI11" i="15"/>
  <c r="AI12" i="15"/>
  <c r="AI13" i="15"/>
  <c r="AI14" i="15"/>
  <c r="AI15" i="15"/>
  <c r="AI16" i="15"/>
  <c r="AI17" i="15"/>
  <c r="AI18" i="15"/>
  <c r="AI19" i="15"/>
  <c r="AI20" i="15"/>
  <c r="AI21" i="15"/>
  <c r="AI6" i="15"/>
  <c r="AI7" i="15"/>
  <c r="AJ7" i="15" s="1"/>
  <c r="AK7" i="15" s="1"/>
  <c r="C222" i="47"/>
  <c r="B7" i="79"/>
  <c r="B8" i="79"/>
  <c r="B9" i="79"/>
  <c r="B10" i="79"/>
  <c r="B11" i="79"/>
  <c r="B12" i="79"/>
  <c r="B6" i="79"/>
  <c r="A7" i="79"/>
  <c r="A8" i="79"/>
  <c r="A9" i="79"/>
  <c r="A10" i="79"/>
  <c r="A11" i="79"/>
  <c r="A12" i="79"/>
  <c r="A6" i="79"/>
  <c r="A16" i="79"/>
  <c r="U8" i="43"/>
  <c r="V8" i="43"/>
  <c r="U9" i="43"/>
  <c r="V9" i="43"/>
  <c r="U10" i="43"/>
  <c r="V10" i="43"/>
  <c r="U11" i="43"/>
  <c r="V11" i="43"/>
  <c r="U12" i="43"/>
  <c r="V12" i="43"/>
  <c r="U13" i="43"/>
  <c r="V13" i="43"/>
  <c r="U14" i="43"/>
  <c r="V14" i="43"/>
  <c r="U15" i="43"/>
  <c r="V15" i="43"/>
  <c r="U16" i="43"/>
  <c r="V16" i="43"/>
  <c r="U17" i="43"/>
  <c r="V17" i="43"/>
  <c r="U18" i="43"/>
  <c r="V18" i="43"/>
  <c r="U19" i="43"/>
  <c r="V19" i="43"/>
  <c r="U20" i="43"/>
  <c r="V20" i="43"/>
  <c r="U21" i="43"/>
  <c r="V21" i="43"/>
  <c r="U22" i="43"/>
  <c r="V22" i="43"/>
  <c r="U23" i="43"/>
  <c r="V23" i="43"/>
  <c r="AU24" i="43"/>
  <c r="AV24" i="43"/>
  <c r="D11" i="32"/>
  <c r="E11" i="32"/>
  <c r="F11" i="32"/>
  <c r="G11" i="32"/>
  <c r="H11" i="32"/>
  <c r="I11" i="32"/>
  <c r="J11" i="32"/>
  <c r="P11" i="32"/>
  <c r="Q11" i="32"/>
  <c r="R11" i="32"/>
  <c r="S11" i="32"/>
  <c r="T11" i="32"/>
  <c r="U11" i="32"/>
  <c r="V11" i="32"/>
  <c r="D12" i="32"/>
  <c r="E12" i="32"/>
  <c r="F12" i="32"/>
  <c r="G12" i="32"/>
  <c r="H12" i="32"/>
  <c r="I12" i="32"/>
  <c r="J12" i="32"/>
  <c r="P12" i="32"/>
  <c r="Q12" i="32"/>
  <c r="R12" i="32"/>
  <c r="S12" i="32"/>
  <c r="T12" i="32"/>
  <c r="U12" i="32"/>
  <c r="V12" i="32"/>
  <c r="D13" i="32"/>
  <c r="E13" i="32"/>
  <c r="F13" i="32"/>
  <c r="G13" i="32"/>
  <c r="H13" i="32"/>
  <c r="I13" i="32"/>
  <c r="J13" i="32"/>
  <c r="P13" i="32"/>
  <c r="Q13" i="32"/>
  <c r="R13" i="32"/>
  <c r="S13" i="32"/>
  <c r="T13" i="32"/>
  <c r="U13" i="32"/>
  <c r="V13" i="32"/>
  <c r="D14" i="32"/>
  <c r="E14" i="32"/>
  <c r="F14" i="32"/>
  <c r="G14" i="32"/>
  <c r="H14" i="32"/>
  <c r="I14" i="32"/>
  <c r="J14" i="32"/>
  <c r="P14" i="32"/>
  <c r="Q14" i="32"/>
  <c r="R14" i="32"/>
  <c r="S14" i="32"/>
  <c r="T14" i="32"/>
  <c r="U14" i="32"/>
  <c r="V14" i="32"/>
  <c r="D15" i="32"/>
  <c r="E15" i="32"/>
  <c r="F15" i="32"/>
  <c r="G15" i="32"/>
  <c r="H15" i="32"/>
  <c r="I15" i="32"/>
  <c r="J15" i="32"/>
  <c r="P15" i="32"/>
  <c r="Q15" i="32"/>
  <c r="R15" i="32"/>
  <c r="S15" i="32"/>
  <c r="T15" i="32"/>
  <c r="U15" i="32"/>
  <c r="V15" i="32"/>
  <c r="D16" i="32"/>
  <c r="E16" i="32"/>
  <c r="F16" i="32"/>
  <c r="G16" i="32"/>
  <c r="H16" i="32"/>
  <c r="I16" i="32"/>
  <c r="J16" i="32"/>
  <c r="P16" i="32"/>
  <c r="Q16" i="32"/>
  <c r="R16" i="32"/>
  <c r="S16" i="32"/>
  <c r="T16" i="32"/>
  <c r="U16" i="32"/>
  <c r="V16" i="32"/>
  <c r="D17" i="32"/>
  <c r="E17" i="32"/>
  <c r="F17" i="32"/>
  <c r="G17" i="32"/>
  <c r="H17" i="32"/>
  <c r="I17" i="32"/>
  <c r="J17" i="32"/>
  <c r="P17" i="32"/>
  <c r="Q17" i="32"/>
  <c r="R17" i="32"/>
  <c r="S17" i="32"/>
  <c r="T17" i="32"/>
  <c r="U17" i="32"/>
  <c r="V17" i="32"/>
  <c r="D18" i="32"/>
  <c r="E18" i="32"/>
  <c r="F18" i="32"/>
  <c r="G18" i="32"/>
  <c r="H18" i="32"/>
  <c r="I18" i="32"/>
  <c r="J18" i="32"/>
  <c r="P18" i="32"/>
  <c r="Q18" i="32"/>
  <c r="R18" i="32"/>
  <c r="S18" i="32"/>
  <c r="T18" i="32"/>
  <c r="U18" i="32"/>
  <c r="V18" i="32"/>
  <c r="D19" i="32"/>
  <c r="E19" i="32"/>
  <c r="F19" i="32"/>
  <c r="G19" i="32"/>
  <c r="H19" i="32"/>
  <c r="I19" i="32"/>
  <c r="J19" i="32"/>
  <c r="P19" i="32"/>
  <c r="Q19" i="32"/>
  <c r="R19" i="32"/>
  <c r="S19" i="32"/>
  <c r="T19" i="32"/>
  <c r="U19" i="32"/>
  <c r="V19" i="32"/>
  <c r="D20" i="32"/>
  <c r="E20" i="32"/>
  <c r="F20" i="32"/>
  <c r="G20" i="32"/>
  <c r="H20" i="32"/>
  <c r="I20" i="32"/>
  <c r="J20" i="32"/>
  <c r="P20" i="32"/>
  <c r="Q20" i="32"/>
  <c r="R20" i="32"/>
  <c r="S20" i="32"/>
  <c r="T20" i="32"/>
  <c r="U20" i="32"/>
  <c r="V20" i="32"/>
  <c r="D21" i="32"/>
  <c r="E21" i="32"/>
  <c r="F21" i="32"/>
  <c r="G21" i="32"/>
  <c r="H21" i="32"/>
  <c r="I21" i="32"/>
  <c r="J21" i="32"/>
  <c r="P21" i="32"/>
  <c r="Q21" i="32"/>
  <c r="R21" i="32"/>
  <c r="S21" i="32"/>
  <c r="T21" i="32"/>
  <c r="U21" i="32"/>
  <c r="V21" i="32"/>
  <c r="D22" i="32"/>
  <c r="E22" i="32"/>
  <c r="F22" i="32"/>
  <c r="G22" i="32"/>
  <c r="H22" i="32"/>
  <c r="I22" i="32"/>
  <c r="J22" i="32"/>
  <c r="P22" i="32"/>
  <c r="Q22" i="32"/>
  <c r="R22" i="32"/>
  <c r="S22" i="32"/>
  <c r="T22" i="32"/>
  <c r="U22" i="32"/>
  <c r="V22" i="32"/>
  <c r="D23" i="32"/>
  <c r="E23" i="32"/>
  <c r="F23" i="32"/>
  <c r="G23" i="32"/>
  <c r="H23" i="32"/>
  <c r="I23" i="32"/>
  <c r="J23" i="32"/>
  <c r="P23" i="32"/>
  <c r="Q23" i="32"/>
  <c r="R23" i="32"/>
  <c r="S23" i="32"/>
  <c r="T23" i="32"/>
  <c r="U23" i="32"/>
  <c r="V23" i="32"/>
  <c r="C13" i="53"/>
  <c r="C14" i="53"/>
  <c r="C15" i="53"/>
  <c r="C16" i="53"/>
  <c r="C17" i="53"/>
  <c r="C18" i="53"/>
  <c r="C12" i="53"/>
  <c r="A13" i="53"/>
  <c r="A14" i="53"/>
  <c r="A15" i="53"/>
  <c r="A16" i="53"/>
  <c r="A17" i="53"/>
  <c r="A18" i="53"/>
  <c r="A12" i="53"/>
  <c r="C24" i="125"/>
  <c r="D24" i="125"/>
  <c r="E24" i="125"/>
  <c r="F24" i="125"/>
  <c r="G24" i="125"/>
  <c r="H24" i="125"/>
  <c r="I24" i="125"/>
  <c r="J24" i="125"/>
  <c r="K24" i="125"/>
  <c r="L24" i="125"/>
  <c r="C25" i="125"/>
  <c r="D25" i="125"/>
  <c r="E25" i="125"/>
  <c r="F25" i="125"/>
  <c r="G25" i="125"/>
  <c r="H25" i="125"/>
  <c r="I25" i="125"/>
  <c r="J25" i="125"/>
  <c r="K25" i="125"/>
  <c r="L25" i="125"/>
  <c r="C26" i="125"/>
  <c r="D26" i="125"/>
  <c r="E26" i="125"/>
  <c r="F26" i="125"/>
  <c r="G26" i="125"/>
  <c r="H26" i="125"/>
  <c r="I26" i="125"/>
  <c r="J26" i="125"/>
  <c r="K26" i="125"/>
  <c r="L26" i="125"/>
  <c r="C27" i="125"/>
  <c r="D27" i="125"/>
  <c r="E27" i="125"/>
  <c r="F27" i="125"/>
  <c r="G27" i="125"/>
  <c r="H27" i="125"/>
  <c r="I27" i="125"/>
  <c r="J27" i="125"/>
  <c r="K27" i="125"/>
  <c r="L27" i="125"/>
  <c r="C28" i="125"/>
  <c r="D28" i="125"/>
  <c r="E28" i="125"/>
  <c r="F28" i="125"/>
  <c r="G28" i="125"/>
  <c r="H28" i="125"/>
  <c r="I28" i="125"/>
  <c r="J28" i="125"/>
  <c r="K28" i="125"/>
  <c r="L28" i="125"/>
  <c r="C7" i="125"/>
  <c r="C7" i="79" s="1"/>
  <c r="D7" i="125"/>
  <c r="D7" i="79" s="1"/>
  <c r="E7" i="125"/>
  <c r="F7" i="125"/>
  <c r="G7" i="125"/>
  <c r="H7" i="125"/>
  <c r="I7" i="125"/>
  <c r="J7" i="125"/>
  <c r="C8" i="125"/>
  <c r="C8" i="79" s="1"/>
  <c r="D8" i="125"/>
  <c r="D8" i="79" s="1"/>
  <c r="E8" i="125"/>
  <c r="F8" i="125"/>
  <c r="G8" i="125"/>
  <c r="H8" i="125"/>
  <c r="I8" i="125"/>
  <c r="J8" i="125"/>
  <c r="C9" i="125"/>
  <c r="C9" i="79" s="1"/>
  <c r="D9" i="125"/>
  <c r="D9" i="79" s="1"/>
  <c r="E9" i="125"/>
  <c r="F9" i="125"/>
  <c r="G9" i="125"/>
  <c r="H9" i="125"/>
  <c r="I9" i="125"/>
  <c r="J9" i="125"/>
  <c r="C10" i="125"/>
  <c r="C10" i="79" s="1"/>
  <c r="D10" i="125"/>
  <c r="D10" i="79" s="1"/>
  <c r="E10" i="125"/>
  <c r="F10" i="125"/>
  <c r="G10" i="125"/>
  <c r="H10" i="125"/>
  <c r="I10" i="125"/>
  <c r="J10" i="125"/>
  <c r="C11" i="125"/>
  <c r="C11" i="79" s="1"/>
  <c r="D11" i="125"/>
  <c r="D11" i="79" s="1"/>
  <c r="E11" i="125"/>
  <c r="F11" i="125"/>
  <c r="G11" i="125"/>
  <c r="H11" i="125"/>
  <c r="I11" i="125"/>
  <c r="J11" i="125"/>
  <c r="C6" i="125"/>
  <c r="D6" i="125"/>
  <c r="D6" i="79" s="1"/>
  <c r="E6" i="125"/>
  <c r="F6" i="125"/>
  <c r="G6" i="125"/>
  <c r="H6" i="125"/>
  <c r="I6" i="125"/>
  <c r="J6" i="125"/>
  <c r="C12" i="125"/>
  <c r="C12" i="79" s="1"/>
  <c r="D12" i="125"/>
  <c r="D12" i="79" s="1"/>
  <c r="E12" i="125"/>
  <c r="F12" i="125"/>
  <c r="G12" i="125"/>
  <c r="H12" i="125"/>
  <c r="I12" i="125"/>
  <c r="J12" i="125"/>
  <c r="AA13" i="125"/>
  <c r="AB13" i="125"/>
  <c r="AC13" i="125"/>
  <c r="AD13" i="125"/>
  <c r="AE13" i="125"/>
  <c r="AF13" i="125"/>
  <c r="AG13" i="125"/>
  <c r="AH13" i="125"/>
  <c r="C23" i="125"/>
  <c r="D23" i="125"/>
  <c r="E23" i="125"/>
  <c r="F23" i="125"/>
  <c r="G23" i="125"/>
  <c r="H23" i="125"/>
  <c r="I23" i="125"/>
  <c r="J23" i="125"/>
  <c r="K23" i="125"/>
  <c r="L23" i="125"/>
  <c r="C29" i="125"/>
  <c r="D29" i="125"/>
  <c r="E29" i="125"/>
  <c r="F29" i="125"/>
  <c r="G29" i="125"/>
  <c r="H29" i="125"/>
  <c r="I29" i="125"/>
  <c r="J29" i="125"/>
  <c r="K29" i="125"/>
  <c r="L29" i="125"/>
  <c r="AA30" i="125"/>
  <c r="AB30" i="125"/>
  <c r="AC30" i="125"/>
  <c r="AD30" i="125"/>
  <c r="AE30" i="125"/>
  <c r="AF30" i="125"/>
  <c r="AG30" i="125"/>
  <c r="AH30" i="125"/>
  <c r="AI30" i="125"/>
  <c r="AJ30" i="125"/>
  <c r="E1" i="124"/>
  <c r="D3" i="124" s="1"/>
  <c r="G6" i="15"/>
  <c r="G7" i="15"/>
  <c r="G8" i="15"/>
  <c r="G9" i="15"/>
  <c r="G10" i="15"/>
  <c r="G11" i="15"/>
  <c r="G12" i="15"/>
  <c r="G13" i="15"/>
  <c r="G14" i="15"/>
  <c r="G15" i="15"/>
  <c r="G16" i="15"/>
  <c r="G17" i="15"/>
  <c r="G18" i="15"/>
  <c r="AW7" i="126" s="1"/>
  <c r="G19" i="15"/>
  <c r="AW8" i="126" s="1"/>
  <c r="G20" i="15"/>
  <c r="AW9" i="126" s="1"/>
  <c r="G21" i="15"/>
  <c r="AE22" i="15"/>
  <c r="A17" i="91"/>
  <c r="B17" i="91"/>
  <c r="F17" i="91"/>
  <c r="A18" i="91"/>
  <c r="B18" i="91"/>
  <c r="F18" i="91"/>
  <c r="A19" i="91"/>
  <c r="B19" i="91"/>
  <c r="F19" i="91"/>
  <c r="A20" i="91"/>
  <c r="B20" i="91"/>
  <c r="F20" i="91"/>
  <c r="A17" i="64"/>
  <c r="B17" i="64"/>
  <c r="A18" i="64"/>
  <c r="B18" i="64"/>
  <c r="A19" i="64"/>
  <c r="B19" i="64"/>
  <c r="A20" i="64"/>
  <c r="B20" i="64"/>
  <c r="A21" i="64"/>
  <c r="B21" i="64"/>
  <c r="A17" i="48"/>
  <c r="B17" i="48"/>
  <c r="E17" i="48"/>
  <c r="A18" i="48"/>
  <c r="B18" i="48"/>
  <c r="E18" i="48"/>
  <c r="A19" i="48"/>
  <c r="B19" i="48"/>
  <c r="E19" i="48"/>
  <c r="A20" i="48"/>
  <c r="B20" i="48"/>
  <c r="E20" i="48"/>
  <c r="A21" i="48"/>
  <c r="B21" i="48"/>
  <c r="E21" i="48"/>
  <c r="A17" i="45"/>
  <c r="B17" i="45"/>
  <c r="A18" i="45"/>
  <c r="B18" i="45"/>
  <c r="A19" i="45"/>
  <c r="B19" i="45"/>
  <c r="A20" i="45"/>
  <c r="B20" i="45"/>
  <c r="A17" i="44"/>
  <c r="B17" i="44"/>
  <c r="A18" i="44"/>
  <c r="B18" i="44"/>
  <c r="A19" i="44"/>
  <c r="B19" i="44"/>
  <c r="A20" i="44"/>
  <c r="B20" i="44"/>
  <c r="A21" i="44"/>
  <c r="B21" i="44"/>
  <c r="A17" i="29"/>
  <c r="B17" i="29"/>
  <c r="A18" i="29"/>
  <c r="B18" i="29"/>
  <c r="A19" i="29"/>
  <c r="B19" i="29"/>
  <c r="A20" i="29"/>
  <c r="B20" i="29"/>
  <c r="A21" i="29"/>
  <c r="B21" i="29"/>
  <c r="A17" i="33"/>
  <c r="B17" i="33"/>
  <c r="A18" i="33"/>
  <c r="B18" i="33"/>
  <c r="A19" i="33"/>
  <c r="B19" i="33"/>
  <c r="A20" i="33"/>
  <c r="B20" i="33"/>
  <c r="A21" i="33"/>
  <c r="B21" i="33"/>
  <c r="A19" i="32"/>
  <c r="B19" i="32"/>
  <c r="A20" i="32"/>
  <c r="B20" i="32"/>
  <c r="A21" i="32"/>
  <c r="B21" i="32"/>
  <c r="A22" i="32"/>
  <c r="B22" i="32"/>
  <c r="A23" i="32"/>
  <c r="B23" i="32"/>
  <c r="A18" i="30"/>
  <c r="B18" i="30"/>
  <c r="A19" i="30"/>
  <c r="B19" i="30"/>
  <c r="A20" i="30"/>
  <c r="B20" i="30"/>
  <c r="A21" i="30"/>
  <c r="B21" i="30"/>
  <c r="A22" i="30"/>
  <c r="B22" i="30"/>
  <c r="A17" i="31"/>
  <c r="B17" i="31"/>
  <c r="A18" i="31"/>
  <c r="B18" i="31"/>
  <c r="A19" i="31"/>
  <c r="B19" i="31"/>
  <c r="A20" i="31"/>
  <c r="B20" i="31"/>
  <c r="A17" i="58"/>
  <c r="B17" i="58"/>
  <c r="A18" i="58"/>
  <c r="B18" i="58"/>
  <c r="A19" i="58"/>
  <c r="B19" i="58"/>
  <c r="A20" i="58"/>
  <c r="B20" i="58"/>
  <c r="A21" i="58"/>
  <c r="B21" i="58"/>
  <c r="A17" i="14"/>
  <c r="B17" i="14"/>
  <c r="C17" i="14"/>
  <c r="D17" i="14"/>
  <c r="E17" i="14"/>
  <c r="F17" i="14"/>
  <c r="G17" i="14"/>
  <c r="H17" i="14"/>
  <c r="I17" i="14"/>
  <c r="J17" i="14"/>
  <c r="K17" i="14"/>
  <c r="L17" i="14"/>
  <c r="M17" i="14"/>
  <c r="N17" i="14"/>
  <c r="O17" i="14"/>
  <c r="Q17" i="14"/>
  <c r="R17" i="14"/>
  <c r="S17" i="14"/>
  <c r="D17" i="64" s="1"/>
  <c r="T17" i="14"/>
  <c r="G17" i="64" s="1"/>
  <c r="U17" i="14"/>
  <c r="AT17" i="14"/>
  <c r="AU17" i="14"/>
  <c r="A18" i="14"/>
  <c r="B18" i="14"/>
  <c r="C18" i="14"/>
  <c r="D18" i="14"/>
  <c r="E18" i="14"/>
  <c r="F18" i="14"/>
  <c r="G18" i="14"/>
  <c r="H18" i="14"/>
  <c r="I18" i="14"/>
  <c r="J18" i="14"/>
  <c r="K18" i="14"/>
  <c r="L18" i="14"/>
  <c r="M18" i="14"/>
  <c r="N18" i="14"/>
  <c r="O18" i="14"/>
  <c r="Q18" i="14"/>
  <c r="R18" i="14"/>
  <c r="S18" i="14"/>
  <c r="D18" i="64" s="1"/>
  <c r="T18" i="14"/>
  <c r="G18" i="64" s="1"/>
  <c r="U18" i="14"/>
  <c r="AT18" i="14"/>
  <c r="AU18" i="14"/>
  <c r="A19" i="14"/>
  <c r="B19" i="14"/>
  <c r="C19" i="14"/>
  <c r="D19" i="14"/>
  <c r="E19" i="14"/>
  <c r="F19" i="14"/>
  <c r="G19" i="14"/>
  <c r="H19" i="14"/>
  <c r="I19" i="14"/>
  <c r="J19" i="14"/>
  <c r="K19" i="14"/>
  <c r="L19" i="14"/>
  <c r="M19" i="14"/>
  <c r="N19" i="14"/>
  <c r="O19" i="14"/>
  <c r="Q19" i="14"/>
  <c r="R19" i="14"/>
  <c r="S19" i="14"/>
  <c r="D19" i="64" s="1"/>
  <c r="T19" i="14"/>
  <c r="G19" i="64" s="1"/>
  <c r="U19" i="14"/>
  <c r="AT19" i="14"/>
  <c r="AU19" i="14"/>
  <c r="A20" i="14"/>
  <c r="B20" i="14"/>
  <c r="C20" i="14"/>
  <c r="D20" i="14"/>
  <c r="E20" i="14"/>
  <c r="F20" i="14"/>
  <c r="G20" i="14"/>
  <c r="H20" i="14"/>
  <c r="I20" i="14"/>
  <c r="J20" i="14"/>
  <c r="K20" i="14"/>
  <c r="L20" i="14"/>
  <c r="M20" i="14"/>
  <c r="N20" i="14"/>
  <c r="O20" i="14"/>
  <c r="Q20" i="14"/>
  <c r="R20" i="14"/>
  <c r="S20" i="14"/>
  <c r="D20" i="64" s="1"/>
  <c r="T20" i="14"/>
  <c r="G20" i="64" s="1"/>
  <c r="U20" i="14"/>
  <c r="AT20" i="14"/>
  <c r="AU20" i="14"/>
  <c r="A21" i="14"/>
  <c r="B21" i="14"/>
  <c r="C21" i="14"/>
  <c r="D21" i="14"/>
  <c r="E21" i="14"/>
  <c r="F21" i="14"/>
  <c r="G21" i="14"/>
  <c r="H21" i="14"/>
  <c r="I21" i="14"/>
  <c r="J21" i="14"/>
  <c r="K21" i="14"/>
  <c r="L21" i="14"/>
  <c r="M21" i="14"/>
  <c r="N21" i="14"/>
  <c r="O21" i="14"/>
  <c r="Q21" i="14"/>
  <c r="R21" i="14"/>
  <c r="S21" i="14"/>
  <c r="D21" i="64" s="1"/>
  <c r="T21" i="14"/>
  <c r="G21" i="64" s="1"/>
  <c r="U21" i="14"/>
  <c r="AT21" i="14"/>
  <c r="AU21" i="14"/>
  <c r="A17" i="15"/>
  <c r="B17" i="15"/>
  <c r="C17" i="15"/>
  <c r="F17" i="44" s="1"/>
  <c r="D17" i="15"/>
  <c r="E17" i="15"/>
  <c r="F17" i="15"/>
  <c r="H17" i="15"/>
  <c r="I17" i="15"/>
  <c r="J17" i="15"/>
  <c r="A18" i="15"/>
  <c r="B18" i="15"/>
  <c r="C18" i="15"/>
  <c r="F18" i="44" s="1"/>
  <c r="D18" i="15"/>
  <c r="E18" i="15"/>
  <c r="F18" i="15"/>
  <c r="H18" i="15"/>
  <c r="I18" i="15"/>
  <c r="J18" i="15"/>
  <c r="A19" i="15"/>
  <c r="B19" i="15"/>
  <c r="C19" i="15"/>
  <c r="D19" i="45" s="1"/>
  <c r="D19" i="15"/>
  <c r="D19" i="29" s="1"/>
  <c r="E19" i="15"/>
  <c r="F19" i="15"/>
  <c r="H19" i="15"/>
  <c r="I19" i="15"/>
  <c r="J19" i="15"/>
  <c r="A20" i="15"/>
  <c r="B20" i="15"/>
  <c r="C20" i="15"/>
  <c r="E20" i="91" s="1"/>
  <c r="D20" i="15"/>
  <c r="D20" i="29" s="1"/>
  <c r="E20" i="15"/>
  <c r="F20" i="15"/>
  <c r="H20" i="15"/>
  <c r="I20" i="15"/>
  <c r="J20" i="15"/>
  <c r="A21" i="15"/>
  <c r="B21" i="15"/>
  <c r="C21" i="15"/>
  <c r="E21" i="58" s="1"/>
  <c r="D21" i="15"/>
  <c r="D21" i="29" s="1"/>
  <c r="E21" i="15"/>
  <c r="F21" i="15"/>
  <c r="H21" i="15"/>
  <c r="I21" i="15"/>
  <c r="J21" i="15"/>
  <c r="A19" i="43"/>
  <c r="B19" i="43"/>
  <c r="C19" i="43"/>
  <c r="D19" i="43"/>
  <c r="E19" i="43"/>
  <c r="F19" i="43"/>
  <c r="I19" i="43"/>
  <c r="J19" i="43"/>
  <c r="K19" i="43"/>
  <c r="L19" i="43"/>
  <c r="M19" i="43"/>
  <c r="N19" i="43"/>
  <c r="O19" i="43"/>
  <c r="P19" i="43"/>
  <c r="Q19" i="43"/>
  <c r="R19" i="43"/>
  <c r="S19" i="43"/>
  <c r="T19" i="43"/>
  <c r="W19" i="43"/>
  <c r="X19" i="43"/>
  <c r="BA19" i="43"/>
  <c r="A20" i="43"/>
  <c r="B20" i="43"/>
  <c r="C20" i="43"/>
  <c r="D20" i="43"/>
  <c r="E20" i="43"/>
  <c r="F20" i="43"/>
  <c r="I20" i="43"/>
  <c r="J20" i="43"/>
  <c r="K20" i="43"/>
  <c r="L20" i="43"/>
  <c r="M20" i="43"/>
  <c r="N20" i="43"/>
  <c r="O20" i="43"/>
  <c r="P20" i="43"/>
  <c r="Q20" i="43"/>
  <c r="R20" i="43"/>
  <c r="S20" i="43"/>
  <c r="T20" i="43"/>
  <c r="W20" i="43"/>
  <c r="X20" i="43"/>
  <c r="BA20" i="43"/>
  <c r="A21" i="43"/>
  <c r="B21" i="43"/>
  <c r="C21" i="43"/>
  <c r="D21" i="43"/>
  <c r="E21" i="43"/>
  <c r="F21" i="43"/>
  <c r="I21" i="43"/>
  <c r="J21" i="43"/>
  <c r="K21" i="43"/>
  <c r="L21" i="43"/>
  <c r="M21" i="43"/>
  <c r="N21" i="43"/>
  <c r="O21" i="43"/>
  <c r="P21" i="43"/>
  <c r="Q21" i="43"/>
  <c r="R21" i="43"/>
  <c r="S21" i="43"/>
  <c r="T21" i="43"/>
  <c r="W21" i="43"/>
  <c r="X21" i="43"/>
  <c r="BA21" i="43"/>
  <c r="A22" i="43"/>
  <c r="B22" i="43"/>
  <c r="C22" i="43"/>
  <c r="D22" i="43"/>
  <c r="E22" i="43"/>
  <c r="F22" i="43"/>
  <c r="I22" i="43"/>
  <c r="J22" i="43"/>
  <c r="K22" i="43"/>
  <c r="L22" i="43"/>
  <c r="M22" i="43"/>
  <c r="N22" i="43"/>
  <c r="O22" i="43"/>
  <c r="P22" i="43"/>
  <c r="Q22" i="43"/>
  <c r="R22" i="43"/>
  <c r="S22" i="43"/>
  <c r="T22" i="43"/>
  <c r="W22" i="43"/>
  <c r="X22" i="43"/>
  <c r="BA22" i="43"/>
  <c r="A23" i="43"/>
  <c r="B23" i="43"/>
  <c r="C23" i="43"/>
  <c r="D23" i="43"/>
  <c r="E23" i="43"/>
  <c r="F23" i="43"/>
  <c r="I23" i="43"/>
  <c r="J23" i="43"/>
  <c r="K23" i="43"/>
  <c r="L23" i="43"/>
  <c r="M23" i="43"/>
  <c r="N23" i="43"/>
  <c r="O23" i="43"/>
  <c r="P23" i="43"/>
  <c r="Q23" i="43"/>
  <c r="R23" i="43"/>
  <c r="S23" i="43"/>
  <c r="T23" i="43"/>
  <c r="W23" i="43"/>
  <c r="X23" i="43"/>
  <c r="BA23" i="43"/>
  <c r="A17" i="18"/>
  <c r="B17" i="18"/>
  <c r="AU17" i="18"/>
  <c r="L19" i="32" s="1"/>
  <c r="AV17" i="18"/>
  <c r="X19" i="32" s="1"/>
  <c r="A18" i="18"/>
  <c r="B18" i="18"/>
  <c r="AU18" i="18"/>
  <c r="L20" i="32" s="1"/>
  <c r="AV18" i="18"/>
  <c r="X20" i="32" s="1"/>
  <c r="A19" i="18"/>
  <c r="B19" i="18"/>
  <c r="AU19" i="18"/>
  <c r="L21" i="32" s="1"/>
  <c r="AV19" i="18"/>
  <c r="X21" i="32" s="1"/>
  <c r="A20" i="18"/>
  <c r="B20" i="18"/>
  <c r="AU20" i="18"/>
  <c r="L22" i="32" s="1"/>
  <c r="AV20" i="18"/>
  <c r="X22" i="32" s="1"/>
  <c r="A21" i="18"/>
  <c r="B21" i="18"/>
  <c r="AU21" i="18"/>
  <c r="L23" i="32" s="1"/>
  <c r="AV21" i="18"/>
  <c r="X23" i="32" s="1"/>
  <c r="A17" i="5"/>
  <c r="B17" i="5"/>
  <c r="AA17" i="5"/>
  <c r="E18" i="30" s="1"/>
  <c r="AB17" i="5"/>
  <c r="J18" i="30" s="1"/>
  <c r="A18" i="5"/>
  <c r="B18" i="5"/>
  <c r="AA18" i="5"/>
  <c r="E19" i="30" s="1"/>
  <c r="AB18" i="5"/>
  <c r="J19" i="30" s="1"/>
  <c r="A19" i="5"/>
  <c r="B19" i="5"/>
  <c r="AA19" i="5"/>
  <c r="E20" i="30" s="1"/>
  <c r="AB19" i="5"/>
  <c r="J20" i="30" s="1"/>
  <c r="A20" i="5"/>
  <c r="B20" i="5"/>
  <c r="AA20" i="5"/>
  <c r="E21" i="30" s="1"/>
  <c r="AB20" i="5"/>
  <c r="J21" i="30" s="1"/>
  <c r="A21" i="5"/>
  <c r="B21" i="5"/>
  <c r="AA21" i="5"/>
  <c r="E22" i="30" s="1"/>
  <c r="AB21" i="5"/>
  <c r="J22" i="30" s="1"/>
  <c r="A17" i="4"/>
  <c r="B17" i="4"/>
  <c r="O17" i="4"/>
  <c r="F18" i="30" s="1"/>
  <c r="P17" i="4"/>
  <c r="K18" i="30" s="1"/>
  <c r="A18" i="4"/>
  <c r="B18" i="4"/>
  <c r="O18" i="4"/>
  <c r="F19" i="30" s="1"/>
  <c r="P18" i="4"/>
  <c r="K19" i="30" s="1"/>
  <c r="A19" i="4"/>
  <c r="B19" i="4"/>
  <c r="O19" i="4"/>
  <c r="F20" i="30" s="1"/>
  <c r="P19" i="4"/>
  <c r="K20" i="30" s="1"/>
  <c r="A20" i="4"/>
  <c r="B20" i="4"/>
  <c r="O20" i="4"/>
  <c r="F21" i="30" s="1"/>
  <c r="P20" i="4"/>
  <c r="K21" i="30" s="1"/>
  <c r="A21" i="4"/>
  <c r="B21" i="4"/>
  <c r="O21" i="4"/>
  <c r="F22" i="30" s="1"/>
  <c r="P21" i="4"/>
  <c r="K22" i="30" s="1"/>
  <c r="A17" i="6"/>
  <c r="B17" i="6"/>
  <c r="W17" i="6"/>
  <c r="D18" i="30" s="1"/>
  <c r="X17" i="6"/>
  <c r="I18" i="30" s="1"/>
  <c r="A18" i="6"/>
  <c r="B18" i="6"/>
  <c r="W18" i="6"/>
  <c r="D19" i="30" s="1"/>
  <c r="X18" i="6"/>
  <c r="I19" i="30" s="1"/>
  <c r="A19" i="6"/>
  <c r="B19" i="6"/>
  <c r="W19" i="6"/>
  <c r="D20" i="30" s="1"/>
  <c r="X19" i="6"/>
  <c r="I20" i="30" s="1"/>
  <c r="A20" i="6"/>
  <c r="B20" i="6"/>
  <c r="W20" i="6"/>
  <c r="D21" i="30" s="1"/>
  <c r="X20" i="6"/>
  <c r="I21" i="30" s="1"/>
  <c r="A21" i="6"/>
  <c r="B21" i="6"/>
  <c r="W21" i="6"/>
  <c r="D22" i="30" s="1"/>
  <c r="X21" i="6"/>
  <c r="I22" i="30" s="1"/>
  <c r="A18" i="7"/>
  <c r="B18" i="7"/>
  <c r="U18" i="7"/>
  <c r="V18" i="7"/>
  <c r="A19" i="7"/>
  <c r="B19" i="7"/>
  <c r="U19" i="7"/>
  <c r="V19" i="7"/>
  <c r="E18" i="33" s="1"/>
  <c r="A20" i="7"/>
  <c r="B20" i="7"/>
  <c r="U20" i="7"/>
  <c r="V20" i="7"/>
  <c r="A21" i="7"/>
  <c r="B21" i="7"/>
  <c r="U21" i="7"/>
  <c r="V21" i="7"/>
  <c r="A22" i="7"/>
  <c r="B22" i="7"/>
  <c r="U22" i="7"/>
  <c r="V22" i="7"/>
  <c r="A18" i="8"/>
  <c r="B18" i="8"/>
  <c r="U18" i="8"/>
  <c r="D17" i="33" s="1"/>
  <c r="V18" i="8"/>
  <c r="A19" i="8"/>
  <c r="B19" i="8"/>
  <c r="U19" i="8"/>
  <c r="V19" i="8"/>
  <c r="D18" i="31" s="1"/>
  <c r="A20" i="8"/>
  <c r="B20" i="8"/>
  <c r="U20" i="8"/>
  <c r="D19" i="31" s="1"/>
  <c r="V20" i="8"/>
  <c r="A21" i="8"/>
  <c r="B21" i="8"/>
  <c r="U21" i="8"/>
  <c r="D20" i="44" s="1"/>
  <c r="V21" i="8"/>
  <c r="A22" i="8"/>
  <c r="B22" i="8"/>
  <c r="U22" i="8"/>
  <c r="V22" i="8"/>
  <c r="A17" i="20"/>
  <c r="B17" i="20"/>
  <c r="A18" i="20"/>
  <c r="B18" i="20"/>
  <c r="A19" i="20"/>
  <c r="B19" i="20"/>
  <c r="A20" i="20"/>
  <c r="B20" i="20"/>
  <c r="A21" i="20"/>
  <c r="B21" i="20"/>
  <c r="E11" i="79"/>
  <c r="G11" i="79"/>
  <c r="I11" i="79"/>
  <c r="H11" i="79"/>
  <c r="L11" i="79" s="1"/>
  <c r="C17" i="2"/>
  <c r="C17" i="31" s="1"/>
  <c r="D17" i="2"/>
  <c r="E17" i="2"/>
  <c r="F17" i="2"/>
  <c r="G17" i="2"/>
  <c r="H17" i="2"/>
  <c r="I17" i="2"/>
  <c r="J17" i="2"/>
  <c r="AI17" i="2"/>
  <c r="AK17" i="2" s="1"/>
  <c r="AJ17" i="15" s="1"/>
  <c r="AJ17" i="2"/>
  <c r="C18" i="2"/>
  <c r="D18" i="2"/>
  <c r="E18" i="2"/>
  <c r="F18" i="2"/>
  <c r="G18" i="2"/>
  <c r="H18" i="2"/>
  <c r="I18" i="2"/>
  <c r="J18" i="2"/>
  <c r="AI18" i="2"/>
  <c r="AT7" i="126" s="1"/>
  <c r="AJ18" i="2"/>
  <c r="C19" i="2"/>
  <c r="D19" i="2"/>
  <c r="E19" i="2"/>
  <c r="F19" i="2"/>
  <c r="G19" i="2"/>
  <c r="H19" i="2"/>
  <c r="I19" i="2"/>
  <c r="J19" i="2"/>
  <c r="AI19" i="2"/>
  <c r="AT8" i="126" s="1"/>
  <c r="AJ19" i="2"/>
  <c r="C20" i="2"/>
  <c r="D20" i="2"/>
  <c r="E20" i="2"/>
  <c r="F20" i="2"/>
  <c r="G20" i="2"/>
  <c r="H20" i="2"/>
  <c r="I20" i="2"/>
  <c r="J20" i="2"/>
  <c r="AI20" i="2"/>
  <c r="AT9" i="126" s="1"/>
  <c r="AJ20" i="2"/>
  <c r="C21" i="2"/>
  <c r="D21" i="2"/>
  <c r="E21" i="2"/>
  <c r="F21" i="2"/>
  <c r="G21" i="2"/>
  <c r="H21" i="2"/>
  <c r="I21" i="2"/>
  <c r="J21" i="2"/>
  <c r="AI21" i="2"/>
  <c r="AJ21" i="2"/>
  <c r="V17" i="8"/>
  <c r="U17" i="8"/>
  <c r="D16" i="33" s="1"/>
  <c r="V16" i="8"/>
  <c r="U16" i="8"/>
  <c r="H15" i="48" s="1"/>
  <c r="V15" i="8"/>
  <c r="U15" i="8"/>
  <c r="D14" i="33" s="1"/>
  <c r="V14" i="8"/>
  <c r="U14" i="8"/>
  <c r="V13" i="8"/>
  <c r="U13" i="8"/>
  <c r="V12" i="8"/>
  <c r="U12" i="8"/>
  <c r="V11" i="8"/>
  <c r="U11" i="8"/>
  <c r="V10" i="8"/>
  <c r="U10" i="8"/>
  <c r="D9" i="31" s="1"/>
  <c r="V9" i="8"/>
  <c r="U9" i="8"/>
  <c r="V8" i="8"/>
  <c r="U8" i="8"/>
  <c r="V7" i="8"/>
  <c r="U7" i="8"/>
  <c r="R23" i="8"/>
  <c r="Q23" i="8"/>
  <c r="S23" i="8"/>
  <c r="T23" i="8"/>
  <c r="AI4" i="2"/>
  <c r="AI6" i="2"/>
  <c r="AI7" i="2"/>
  <c r="AK7" i="2" s="1"/>
  <c r="AI8" i="2"/>
  <c r="AI9" i="2"/>
  <c r="AI10" i="2"/>
  <c r="AI11" i="2"/>
  <c r="AI12" i="2"/>
  <c r="AI13" i="2"/>
  <c r="AI14" i="2"/>
  <c r="AI15" i="2"/>
  <c r="AK15" i="2" s="1"/>
  <c r="AJ15" i="15" s="1"/>
  <c r="AI16" i="2"/>
  <c r="AJ6" i="2"/>
  <c r="AJ7" i="2"/>
  <c r="AJ8" i="2"/>
  <c r="AJ9" i="2"/>
  <c r="AJ10" i="2"/>
  <c r="AJ11" i="2"/>
  <c r="AJ12" i="2"/>
  <c r="AJ13" i="2"/>
  <c r="AJ14" i="2"/>
  <c r="AJ15" i="2"/>
  <c r="AJ16" i="2"/>
  <c r="AK16" i="2" s="1"/>
  <c r="AJ16" i="15" s="1"/>
  <c r="A1" i="2"/>
  <c r="V8" i="7"/>
  <c r="V9" i="7"/>
  <c r="V10" i="7"/>
  <c r="V11" i="7"/>
  <c r="V12" i="7"/>
  <c r="V13" i="7"/>
  <c r="E12" i="33" s="1"/>
  <c r="V14" i="7"/>
  <c r="V15" i="7"/>
  <c r="V16" i="7"/>
  <c r="E15" i="31" s="1"/>
  <c r="V17" i="7"/>
  <c r="V7" i="7"/>
  <c r="U8" i="7"/>
  <c r="U9" i="7"/>
  <c r="E8" i="31" s="1"/>
  <c r="U10" i="7"/>
  <c r="E9" i="31" s="1"/>
  <c r="U11" i="7"/>
  <c r="E10" i="33" s="1"/>
  <c r="U12" i="7"/>
  <c r="U13" i="7"/>
  <c r="U14" i="7"/>
  <c r="U15" i="7"/>
  <c r="E14" i="31" s="1"/>
  <c r="U16" i="7"/>
  <c r="U17" i="7"/>
  <c r="E16" i="31" s="1"/>
  <c r="U7" i="7"/>
  <c r="S23" i="7"/>
  <c r="T23" i="7"/>
  <c r="F21" i="91"/>
  <c r="O6" i="4"/>
  <c r="O7" i="4"/>
  <c r="F8" i="30" s="1"/>
  <c r="O8" i="4"/>
  <c r="F9" i="30" s="1"/>
  <c r="O9" i="4"/>
  <c r="F10" i="30" s="1"/>
  <c r="O10" i="4"/>
  <c r="F11" i="30" s="1"/>
  <c r="O11" i="4"/>
  <c r="F12" i="30" s="1"/>
  <c r="O12" i="4"/>
  <c r="F13" i="30" s="1"/>
  <c r="O13" i="4"/>
  <c r="F14" i="30" s="1"/>
  <c r="O14" i="4"/>
  <c r="F15" i="30" s="1"/>
  <c r="O15" i="4"/>
  <c r="F16" i="30" s="1"/>
  <c r="O16" i="4"/>
  <c r="F17" i="30" s="1"/>
  <c r="W6" i="6"/>
  <c r="W7" i="6"/>
  <c r="D8" i="30" s="1"/>
  <c r="W8" i="6"/>
  <c r="D9" i="30" s="1"/>
  <c r="W9" i="6"/>
  <c r="D10" i="30" s="1"/>
  <c r="W10" i="6"/>
  <c r="D11" i="30"/>
  <c r="W11" i="6"/>
  <c r="D12" i="30" s="1"/>
  <c r="W12" i="6"/>
  <c r="D13" i="30" s="1"/>
  <c r="W13" i="6"/>
  <c r="D14" i="30" s="1"/>
  <c r="W14" i="6"/>
  <c r="D15" i="30" s="1"/>
  <c r="W15" i="6"/>
  <c r="D16" i="30" s="1"/>
  <c r="W16" i="6"/>
  <c r="D17" i="30" s="1"/>
  <c r="C5" i="58"/>
  <c r="AA4" i="2"/>
  <c r="K5" i="58"/>
  <c r="AD22" i="15"/>
  <c r="F7" i="15"/>
  <c r="F8" i="15"/>
  <c r="F9" i="15"/>
  <c r="F10" i="15"/>
  <c r="F11" i="15"/>
  <c r="F12" i="15"/>
  <c r="F13" i="15"/>
  <c r="F14" i="15"/>
  <c r="F15" i="15"/>
  <c r="F16" i="15"/>
  <c r="F6" i="15"/>
  <c r="F16" i="91"/>
  <c r="F15" i="91"/>
  <c r="F14" i="91"/>
  <c r="F13" i="91"/>
  <c r="F12" i="91"/>
  <c r="F11" i="91"/>
  <c r="F10" i="91"/>
  <c r="F9" i="91"/>
  <c r="F8" i="91"/>
  <c r="F7" i="91"/>
  <c r="F6" i="91"/>
  <c r="B21" i="91"/>
  <c r="A21" i="91"/>
  <c r="B16" i="91"/>
  <c r="A16" i="91"/>
  <c r="B15" i="91"/>
  <c r="A15" i="91"/>
  <c r="B14" i="91"/>
  <c r="A14" i="91"/>
  <c r="B13" i="91"/>
  <c r="A13" i="91"/>
  <c r="B12" i="91"/>
  <c r="A12" i="91"/>
  <c r="B11" i="91"/>
  <c r="A11" i="91"/>
  <c r="B10" i="91"/>
  <c r="A10" i="91"/>
  <c r="B9" i="91"/>
  <c r="A9" i="91"/>
  <c r="B8" i="91"/>
  <c r="A8" i="91"/>
  <c r="B7" i="91"/>
  <c r="A7" i="91"/>
  <c r="B6" i="91"/>
  <c r="A6" i="91"/>
  <c r="AF22" i="14"/>
  <c r="H7" i="14"/>
  <c r="H8" i="14"/>
  <c r="H9" i="14"/>
  <c r="H10" i="14"/>
  <c r="H11" i="14"/>
  <c r="H12" i="14"/>
  <c r="H13" i="14"/>
  <c r="H14" i="14"/>
  <c r="H15" i="14"/>
  <c r="H16" i="14"/>
  <c r="H6" i="14"/>
  <c r="C16" i="15"/>
  <c r="E16" i="91" s="1"/>
  <c r="C15" i="15"/>
  <c r="F15" i="44" s="1"/>
  <c r="C14" i="15"/>
  <c r="F14" i="44" s="1"/>
  <c r="C13" i="15"/>
  <c r="D13" i="45" s="1"/>
  <c r="C12" i="15"/>
  <c r="E12" i="91" s="1"/>
  <c r="C11" i="15"/>
  <c r="E11" i="58" s="1"/>
  <c r="K11" i="58" s="1"/>
  <c r="C10" i="15"/>
  <c r="E10" i="58" s="1"/>
  <c r="K10" i="58" s="1"/>
  <c r="C9" i="15"/>
  <c r="E9" i="58" s="1"/>
  <c r="I9" i="58" s="1"/>
  <c r="C8" i="15"/>
  <c r="C7" i="15"/>
  <c r="E7" i="91" s="1"/>
  <c r="C6" i="15"/>
  <c r="F6" i="44" s="1"/>
  <c r="I16" i="14"/>
  <c r="I15" i="14"/>
  <c r="I14" i="14"/>
  <c r="I13" i="14"/>
  <c r="I12" i="14"/>
  <c r="I11" i="14"/>
  <c r="I10" i="14"/>
  <c r="I9" i="14"/>
  <c r="I8" i="14"/>
  <c r="I7" i="14"/>
  <c r="I6" i="14"/>
  <c r="B20" i="77"/>
  <c r="AG22" i="14"/>
  <c r="C29" i="23"/>
  <c r="C28" i="23"/>
  <c r="C27" i="23"/>
  <c r="C26" i="23"/>
  <c r="C25" i="23"/>
  <c r="C24" i="23"/>
  <c r="C23" i="23"/>
  <c r="C22" i="23"/>
  <c r="C21" i="23"/>
  <c r="C20" i="23"/>
  <c r="C19" i="23"/>
  <c r="C18" i="23"/>
  <c r="C17" i="23"/>
  <c r="C16" i="23"/>
  <c r="C15" i="23"/>
  <c r="C14" i="23"/>
  <c r="C13" i="23"/>
  <c r="C12" i="23"/>
  <c r="C11" i="23"/>
  <c r="C10" i="23"/>
  <c r="C9" i="23"/>
  <c r="C8" i="23"/>
  <c r="C7" i="23"/>
  <c r="C6" i="23"/>
  <c r="C5" i="23"/>
  <c r="C4" i="23"/>
  <c r="K6" i="14"/>
  <c r="K7" i="14"/>
  <c r="K8" i="14"/>
  <c r="K9" i="14"/>
  <c r="K10" i="14"/>
  <c r="K11" i="14"/>
  <c r="K12" i="14"/>
  <c r="K13" i="14"/>
  <c r="K14" i="14"/>
  <c r="K15" i="14"/>
  <c r="K16" i="14"/>
  <c r="L6" i="14"/>
  <c r="L7" i="14"/>
  <c r="L8" i="14"/>
  <c r="L9" i="14"/>
  <c r="L10" i="14"/>
  <c r="L11" i="14"/>
  <c r="L12" i="14"/>
  <c r="L13" i="14"/>
  <c r="L14" i="14"/>
  <c r="L15" i="14"/>
  <c r="L16" i="14"/>
  <c r="J6" i="14"/>
  <c r="J7" i="14"/>
  <c r="J8" i="14"/>
  <c r="J9" i="14"/>
  <c r="J10" i="14"/>
  <c r="J11" i="14"/>
  <c r="J12" i="14"/>
  <c r="J13" i="14"/>
  <c r="J14" i="14"/>
  <c r="J15" i="14"/>
  <c r="J16" i="14"/>
  <c r="U16" i="14"/>
  <c r="T16" i="14"/>
  <c r="G16" i="64" s="1"/>
  <c r="S16" i="14"/>
  <c r="D16" i="64" s="1"/>
  <c r="R16" i="14"/>
  <c r="Q16" i="14"/>
  <c r="O16" i="14"/>
  <c r="N16" i="14"/>
  <c r="M16" i="14"/>
  <c r="G16" i="14"/>
  <c r="F16" i="14"/>
  <c r="E16" i="14"/>
  <c r="D16" i="14"/>
  <c r="C16" i="14"/>
  <c r="U15" i="14"/>
  <c r="T15" i="14"/>
  <c r="G15" i="64" s="1"/>
  <c r="S15" i="14"/>
  <c r="D15" i="64" s="1"/>
  <c r="R15" i="14"/>
  <c r="Q15" i="14"/>
  <c r="O15" i="14"/>
  <c r="N15" i="14"/>
  <c r="M15" i="14"/>
  <c r="G15" i="14"/>
  <c r="F15" i="14"/>
  <c r="E15" i="14"/>
  <c r="D15" i="14"/>
  <c r="C15" i="14"/>
  <c r="U14" i="14"/>
  <c r="T14" i="14"/>
  <c r="G14" i="64" s="1"/>
  <c r="S14" i="14"/>
  <c r="D14" i="64" s="1"/>
  <c r="R14" i="14"/>
  <c r="Q14" i="14"/>
  <c r="O14" i="14"/>
  <c r="N14" i="14"/>
  <c r="M14" i="14"/>
  <c r="G14" i="14"/>
  <c r="F14" i="14"/>
  <c r="E14" i="14"/>
  <c r="D14" i="14"/>
  <c r="C14" i="14"/>
  <c r="U13" i="14"/>
  <c r="T13" i="14"/>
  <c r="G13" i="64" s="1"/>
  <c r="S13" i="14"/>
  <c r="D13" i="64" s="1"/>
  <c r="R13" i="14"/>
  <c r="Q13" i="14"/>
  <c r="O13" i="14"/>
  <c r="N13" i="14"/>
  <c r="M13" i="14"/>
  <c r="G13" i="14"/>
  <c r="F13" i="14"/>
  <c r="E13" i="14"/>
  <c r="D13" i="14"/>
  <c r="C13" i="14"/>
  <c r="U12" i="14"/>
  <c r="T12" i="14"/>
  <c r="G12" i="64" s="1"/>
  <c r="S12" i="14"/>
  <c r="D12" i="64" s="1"/>
  <c r="R12" i="14"/>
  <c r="Q12" i="14"/>
  <c r="O12" i="14"/>
  <c r="N12" i="14"/>
  <c r="M12" i="14"/>
  <c r="G12" i="14"/>
  <c r="F12" i="14"/>
  <c r="E12" i="14"/>
  <c r="D12" i="14"/>
  <c r="C12" i="14"/>
  <c r="U11" i="14"/>
  <c r="T11" i="14"/>
  <c r="G11" i="64" s="1"/>
  <c r="S11" i="14"/>
  <c r="D11" i="64" s="1"/>
  <c r="R11" i="14"/>
  <c r="Q11" i="14"/>
  <c r="O11" i="14"/>
  <c r="N11" i="14"/>
  <c r="M11" i="14"/>
  <c r="G11" i="14"/>
  <c r="F11" i="14"/>
  <c r="E11" i="14"/>
  <c r="D11" i="14"/>
  <c r="C11" i="14"/>
  <c r="U10" i="14"/>
  <c r="T10" i="14"/>
  <c r="G10" i="64" s="1"/>
  <c r="S10" i="14"/>
  <c r="D10" i="64" s="1"/>
  <c r="R10" i="14"/>
  <c r="Q10" i="14"/>
  <c r="O10" i="14"/>
  <c r="N10" i="14"/>
  <c r="M10" i="14"/>
  <c r="G10" i="14"/>
  <c r="F10" i="14"/>
  <c r="E10" i="14"/>
  <c r="D10" i="14"/>
  <c r="C10" i="14"/>
  <c r="U9" i="14"/>
  <c r="T9" i="14"/>
  <c r="S9" i="14"/>
  <c r="D9" i="64" s="1"/>
  <c r="R9" i="14"/>
  <c r="Q9" i="14"/>
  <c r="O9" i="14"/>
  <c r="N9" i="14"/>
  <c r="M9" i="14"/>
  <c r="G9" i="14"/>
  <c r="F9" i="14"/>
  <c r="E9" i="14"/>
  <c r="D9" i="14"/>
  <c r="C9" i="14"/>
  <c r="U8" i="14"/>
  <c r="T8" i="14"/>
  <c r="G8" i="64" s="1"/>
  <c r="S8" i="14"/>
  <c r="D8" i="64" s="1"/>
  <c r="R8" i="14"/>
  <c r="Q8" i="14"/>
  <c r="O8" i="14"/>
  <c r="N8" i="14"/>
  <c r="M8" i="14"/>
  <c r="G8" i="14"/>
  <c r="F8" i="14"/>
  <c r="E8" i="14"/>
  <c r="D8" i="14"/>
  <c r="C8" i="14"/>
  <c r="U7" i="14"/>
  <c r="T7" i="14"/>
  <c r="G7" i="64" s="1"/>
  <c r="S7" i="14"/>
  <c r="D7" i="64" s="1"/>
  <c r="R7" i="14"/>
  <c r="Q7" i="14"/>
  <c r="O7" i="14"/>
  <c r="N7" i="14"/>
  <c r="M7" i="14"/>
  <c r="G7" i="14"/>
  <c r="F7" i="14"/>
  <c r="E7" i="14"/>
  <c r="D7" i="14"/>
  <c r="C7" i="14"/>
  <c r="U6" i="14"/>
  <c r="T6" i="14"/>
  <c r="G6" i="64" s="1"/>
  <c r="S6" i="14"/>
  <c r="D6" i="64"/>
  <c r="R6" i="14"/>
  <c r="Q6" i="14"/>
  <c r="O6" i="14"/>
  <c r="N6" i="14"/>
  <c r="M6" i="14"/>
  <c r="G6" i="14"/>
  <c r="F6" i="14"/>
  <c r="E6" i="14"/>
  <c r="D6" i="14"/>
  <c r="C6" i="14"/>
  <c r="AS22" i="14"/>
  <c r="AR22" i="14"/>
  <c r="AQ22" i="14"/>
  <c r="AP22" i="14"/>
  <c r="AO22" i="14"/>
  <c r="AM22" i="14"/>
  <c r="AL22" i="14"/>
  <c r="AK22" i="14"/>
  <c r="AJ22" i="14"/>
  <c r="AI22" i="14"/>
  <c r="AH22" i="14"/>
  <c r="AE22" i="14"/>
  <c r="AD22" i="14"/>
  <c r="AC22" i="14"/>
  <c r="AB22" i="14"/>
  <c r="AA22" i="14"/>
  <c r="AU16" i="14"/>
  <c r="AT16" i="14"/>
  <c r="AU15" i="14"/>
  <c r="AT15" i="14"/>
  <c r="AU14" i="14"/>
  <c r="AT14" i="14"/>
  <c r="AU13" i="14"/>
  <c r="AT13" i="14"/>
  <c r="AU12" i="14"/>
  <c r="AT12" i="14"/>
  <c r="AU11" i="14"/>
  <c r="AT11" i="14"/>
  <c r="AU10" i="14"/>
  <c r="AT10" i="14"/>
  <c r="AU9" i="14"/>
  <c r="AT9" i="14"/>
  <c r="AU8" i="14"/>
  <c r="AT8" i="14"/>
  <c r="AU7" i="14"/>
  <c r="AT7" i="14"/>
  <c r="AU6" i="14"/>
  <c r="AT6" i="14"/>
  <c r="E6" i="15"/>
  <c r="E7" i="15"/>
  <c r="E8" i="15"/>
  <c r="E9" i="15"/>
  <c r="E10" i="15"/>
  <c r="E11" i="15"/>
  <c r="E12" i="15"/>
  <c r="E13" i="15"/>
  <c r="E14" i="15"/>
  <c r="E15" i="15"/>
  <c r="E16" i="15"/>
  <c r="J16" i="15"/>
  <c r="I16" i="15"/>
  <c r="H16" i="15"/>
  <c r="D16" i="15"/>
  <c r="D16" i="29" s="1"/>
  <c r="J15" i="15"/>
  <c r="I15" i="15"/>
  <c r="H15" i="15"/>
  <c r="D15" i="15"/>
  <c r="D15" i="29" s="1"/>
  <c r="J14" i="15"/>
  <c r="I14" i="15"/>
  <c r="H14" i="15"/>
  <c r="D14" i="15"/>
  <c r="J13" i="15"/>
  <c r="I13" i="15"/>
  <c r="H13" i="15"/>
  <c r="D13" i="15"/>
  <c r="J12" i="15"/>
  <c r="I12" i="15"/>
  <c r="H12" i="15"/>
  <c r="D12" i="15"/>
  <c r="D12" i="29" s="1"/>
  <c r="J11" i="15"/>
  <c r="I11" i="15"/>
  <c r="H11" i="15"/>
  <c r="D11" i="15"/>
  <c r="D11" i="29" s="1"/>
  <c r="J10" i="15"/>
  <c r="I10" i="15"/>
  <c r="H10" i="15"/>
  <c r="D10" i="15"/>
  <c r="D10" i="29" s="1"/>
  <c r="J9" i="15"/>
  <c r="J6" i="15"/>
  <c r="J7" i="15"/>
  <c r="J8" i="15"/>
  <c r="I9" i="15"/>
  <c r="H9" i="15"/>
  <c r="D9" i="15"/>
  <c r="D9" i="29"/>
  <c r="I8" i="15"/>
  <c r="H8" i="15"/>
  <c r="D8" i="15"/>
  <c r="I7" i="15"/>
  <c r="H7" i="15"/>
  <c r="D7" i="15"/>
  <c r="D7" i="29" s="1"/>
  <c r="I6" i="15"/>
  <c r="H6" i="15"/>
  <c r="D6" i="15"/>
  <c r="D6" i="29" s="1"/>
  <c r="AH22" i="15"/>
  <c r="AG22" i="15"/>
  <c r="AF22" i="15"/>
  <c r="AC22" i="15"/>
  <c r="AB22" i="15"/>
  <c r="AA22" i="15"/>
  <c r="T8" i="43"/>
  <c r="T9" i="43"/>
  <c r="T10" i="43"/>
  <c r="T11" i="43"/>
  <c r="T12" i="43"/>
  <c r="T13" i="43"/>
  <c r="T14" i="43"/>
  <c r="T15" i="43"/>
  <c r="T16" i="43"/>
  <c r="T17" i="43"/>
  <c r="T18" i="43"/>
  <c r="L8" i="43"/>
  <c r="L9" i="43"/>
  <c r="L10" i="43"/>
  <c r="L11" i="43"/>
  <c r="L12" i="43"/>
  <c r="L13" i="43"/>
  <c r="L14" i="43"/>
  <c r="L15" i="43"/>
  <c r="L16" i="43"/>
  <c r="L17" i="43"/>
  <c r="L18" i="43"/>
  <c r="I8" i="43"/>
  <c r="I9" i="43"/>
  <c r="I10" i="43"/>
  <c r="I11" i="43"/>
  <c r="I12" i="43"/>
  <c r="I13" i="43"/>
  <c r="I14" i="43"/>
  <c r="I15" i="43"/>
  <c r="I16" i="43"/>
  <c r="I17" i="43"/>
  <c r="I18" i="43"/>
  <c r="X18" i="43"/>
  <c r="W18" i="43"/>
  <c r="S18" i="43"/>
  <c r="R18" i="43"/>
  <c r="Q18" i="43"/>
  <c r="P18" i="43"/>
  <c r="O18" i="43"/>
  <c r="N18" i="43"/>
  <c r="M18" i="43"/>
  <c r="D18" i="43"/>
  <c r="F18" i="43"/>
  <c r="J18" i="43"/>
  <c r="K18" i="43"/>
  <c r="E18" i="43"/>
  <c r="C18" i="43"/>
  <c r="X17" i="43"/>
  <c r="X8" i="43"/>
  <c r="X9" i="43"/>
  <c r="X10" i="43"/>
  <c r="X11" i="43"/>
  <c r="X12" i="43"/>
  <c r="X13" i="43"/>
  <c r="X14" i="43"/>
  <c r="X15" i="43"/>
  <c r="X16" i="43"/>
  <c r="W17" i="43"/>
  <c r="S17" i="43"/>
  <c r="R17" i="43"/>
  <c r="Q17" i="43"/>
  <c r="P17" i="43"/>
  <c r="O17" i="43"/>
  <c r="N17" i="43"/>
  <c r="N8" i="43"/>
  <c r="N9" i="43"/>
  <c r="N10" i="43"/>
  <c r="N11" i="43"/>
  <c r="N12" i="43"/>
  <c r="N13" i="43"/>
  <c r="N14" i="43"/>
  <c r="N15" i="43"/>
  <c r="N16" i="43"/>
  <c r="M17" i="43"/>
  <c r="K17" i="43"/>
  <c r="J17" i="43"/>
  <c r="F17" i="43"/>
  <c r="E17" i="43"/>
  <c r="D17" i="43"/>
  <c r="C17" i="43"/>
  <c r="W16" i="43"/>
  <c r="S16" i="43"/>
  <c r="R16" i="43"/>
  <c r="Q16" i="43"/>
  <c r="P16" i="43"/>
  <c r="O16" i="43"/>
  <c r="M16" i="43"/>
  <c r="K16" i="43"/>
  <c r="J16" i="43"/>
  <c r="F16" i="43"/>
  <c r="D16" i="43"/>
  <c r="E16" i="43"/>
  <c r="C16" i="43"/>
  <c r="W15" i="43"/>
  <c r="S15" i="43"/>
  <c r="R15" i="43"/>
  <c r="Q15" i="43"/>
  <c r="P15" i="43"/>
  <c r="O15" i="43"/>
  <c r="M15" i="43"/>
  <c r="K15" i="43"/>
  <c r="J15" i="43"/>
  <c r="F15" i="43"/>
  <c r="E15" i="43"/>
  <c r="D15" i="43"/>
  <c r="C15" i="43"/>
  <c r="W14" i="43"/>
  <c r="S14" i="43"/>
  <c r="R14" i="43"/>
  <c r="Q14" i="43"/>
  <c r="P14" i="43"/>
  <c r="O14" i="43"/>
  <c r="M14" i="43"/>
  <c r="C14" i="43"/>
  <c r="E14" i="43"/>
  <c r="K14" i="43"/>
  <c r="D14" i="43"/>
  <c r="F14" i="43"/>
  <c r="J14" i="43"/>
  <c r="W13" i="43"/>
  <c r="S13" i="43"/>
  <c r="R13" i="43"/>
  <c r="Q13" i="43"/>
  <c r="P13" i="43"/>
  <c r="O13" i="43"/>
  <c r="M13" i="43"/>
  <c r="K13" i="43"/>
  <c r="J13" i="43"/>
  <c r="F13" i="43"/>
  <c r="D13" i="43"/>
  <c r="E13" i="43"/>
  <c r="C13" i="43"/>
  <c r="W12" i="43"/>
  <c r="S12" i="43"/>
  <c r="R12" i="43"/>
  <c r="Q12" i="43"/>
  <c r="P12" i="43"/>
  <c r="O12" i="43"/>
  <c r="M12" i="43"/>
  <c r="K12" i="43"/>
  <c r="J12" i="43"/>
  <c r="F12" i="43"/>
  <c r="E12" i="43"/>
  <c r="D12" i="43"/>
  <c r="C12" i="43"/>
  <c r="W11" i="43"/>
  <c r="S11" i="43"/>
  <c r="R11" i="43"/>
  <c r="Q11" i="43"/>
  <c r="P11" i="43"/>
  <c r="O11" i="43"/>
  <c r="M11" i="43"/>
  <c r="K11" i="43"/>
  <c r="J11" i="43"/>
  <c r="F11" i="43"/>
  <c r="E11" i="43"/>
  <c r="D11" i="43"/>
  <c r="C11" i="43"/>
  <c r="W10" i="43"/>
  <c r="S10" i="43"/>
  <c r="R10" i="43"/>
  <c r="Q10" i="43"/>
  <c r="P10" i="43"/>
  <c r="O10" i="43"/>
  <c r="M10" i="43"/>
  <c r="K10" i="43"/>
  <c r="J10" i="43"/>
  <c r="C10" i="43"/>
  <c r="E10" i="43"/>
  <c r="F10" i="43"/>
  <c r="D10" i="43"/>
  <c r="W9" i="43"/>
  <c r="S9" i="43"/>
  <c r="R9" i="43"/>
  <c r="Q9" i="43"/>
  <c r="P9" i="43"/>
  <c r="O9" i="43"/>
  <c r="M9" i="43"/>
  <c r="K9" i="43"/>
  <c r="J9" i="43"/>
  <c r="F9" i="43"/>
  <c r="E9" i="43"/>
  <c r="D9" i="43"/>
  <c r="C9" i="43"/>
  <c r="W8" i="43"/>
  <c r="S8" i="43"/>
  <c r="R8" i="43"/>
  <c r="Q8" i="43"/>
  <c r="P8" i="43"/>
  <c r="O8" i="43"/>
  <c r="M8" i="43"/>
  <c r="K8" i="43"/>
  <c r="J8" i="43"/>
  <c r="F8" i="43"/>
  <c r="E8" i="43"/>
  <c r="C8" i="43"/>
  <c r="D8" i="43"/>
  <c r="AX24" i="43"/>
  <c r="AW24" i="43"/>
  <c r="AT24" i="43"/>
  <c r="AS24" i="43"/>
  <c r="AR24" i="43"/>
  <c r="AQ24" i="43"/>
  <c r="AP24" i="43"/>
  <c r="AO24" i="43"/>
  <c r="AN24" i="43"/>
  <c r="AM24" i="43"/>
  <c r="AL24" i="43"/>
  <c r="AK24" i="43"/>
  <c r="AJ24" i="43"/>
  <c r="AI24" i="43"/>
  <c r="AF24" i="43"/>
  <c r="AE24" i="43"/>
  <c r="AD24" i="43"/>
  <c r="AC24" i="43"/>
  <c r="BA18" i="43"/>
  <c r="BA17" i="43"/>
  <c r="BA16" i="43"/>
  <c r="BA15" i="43"/>
  <c r="BA14" i="43"/>
  <c r="BA13" i="43"/>
  <c r="BA12" i="43"/>
  <c r="BA11" i="43"/>
  <c r="BA10" i="43"/>
  <c r="BA9" i="43"/>
  <c r="BA8" i="43"/>
  <c r="J16" i="2"/>
  <c r="I16" i="2"/>
  <c r="H16" i="2"/>
  <c r="G16" i="2"/>
  <c r="F16" i="2"/>
  <c r="E16" i="2"/>
  <c r="K16" i="2" s="1"/>
  <c r="D16" i="2"/>
  <c r="C16" i="31" s="1"/>
  <c r="C16" i="2"/>
  <c r="J15" i="2"/>
  <c r="I15" i="2"/>
  <c r="H15" i="2"/>
  <c r="G15" i="2"/>
  <c r="F15" i="2"/>
  <c r="E15" i="2"/>
  <c r="D15" i="2"/>
  <c r="C15" i="2"/>
  <c r="C15" i="33" s="1"/>
  <c r="J14" i="2"/>
  <c r="I14" i="2"/>
  <c r="H14" i="2"/>
  <c r="G14" i="2"/>
  <c r="F14" i="2"/>
  <c r="E14" i="2"/>
  <c r="D14" i="2"/>
  <c r="C14" i="2"/>
  <c r="J13" i="2"/>
  <c r="I13" i="2"/>
  <c r="H13" i="2"/>
  <c r="G13" i="2"/>
  <c r="F13" i="2"/>
  <c r="E13" i="2"/>
  <c r="D13" i="2"/>
  <c r="C13" i="2"/>
  <c r="J12" i="2"/>
  <c r="I12" i="2"/>
  <c r="H12" i="2"/>
  <c r="G12" i="2"/>
  <c r="F12" i="2"/>
  <c r="E12" i="2"/>
  <c r="K12" i="2" s="1"/>
  <c r="D12" i="2"/>
  <c r="C12" i="2"/>
  <c r="J11" i="2"/>
  <c r="I11" i="2"/>
  <c r="H11" i="2"/>
  <c r="F11" i="2"/>
  <c r="G11" i="2"/>
  <c r="E11" i="2"/>
  <c r="K11" i="2" s="1"/>
  <c r="D11" i="2"/>
  <c r="C11" i="2"/>
  <c r="J10" i="2"/>
  <c r="I10" i="2"/>
  <c r="H10" i="2"/>
  <c r="G10" i="2"/>
  <c r="E10" i="2"/>
  <c r="K10" i="2" s="1"/>
  <c r="F10" i="2"/>
  <c r="D10" i="2"/>
  <c r="C10" i="2"/>
  <c r="C10" i="31" s="1"/>
  <c r="J9" i="2"/>
  <c r="I9" i="2"/>
  <c r="H9" i="2"/>
  <c r="G9" i="2"/>
  <c r="F9" i="2"/>
  <c r="E9" i="2"/>
  <c r="D9" i="2"/>
  <c r="C9" i="33"/>
  <c r="C9" i="2"/>
  <c r="J8" i="2"/>
  <c r="I8" i="2"/>
  <c r="H8" i="2"/>
  <c r="G8" i="2"/>
  <c r="F8" i="2"/>
  <c r="E8" i="2"/>
  <c r="D8" i="2"/>
  <c r="C8" i="2"/>
  <c r="C7" i="33"/>
  <c r="AH22" i="2"/>
  <c r="AG22" i="2"/>
  <c r="AF22" i="2"/>
  <c r="AE22" i="2"/>
  <c r="AD22" i="2"/>
  <c r="AC22" i="2"/>
  <c r="AB22" i="2"/>
  <c r="AA22" i="2"/>
  <c r="K33" i="47"/>
  <c r="G10" i="79"/>
  <c r="I10" i="79" s="1"/>
  <c r="H10" i="79"/>
  <c r="G12" i="79"/>
  <c r="H12" i="79"/>
  <c r="H9" i="79"/>
  <c r="I9" i="79" s="1"/>
  <c r="G9" i="79"/>
  <c r="G13" i="79" s="1"/>
  <c r="H8" i="79"/>
  <c r="G8" i="79"/>
  <c r="H7" i="79"/>
  <c r="G7" i="79"/>
  <c r="H6" i="79"/>
  <c r="G6" i="79"/>
  <c r="K211" i="47"/>
  <c r="B6" i="44"/>
  <c r="B22" i="78"/>
  <c r="A30" i="23"/>
  <c r="R23" i="7"/>
  <c r="Q23" i="7"/>
  <c r="M23" i="8"/>
  <c r="N23" i="8"/>
  <c r="A24" i="2"/>
  <c r="E35" i="23"/>
  <c r="E32" i="23"/>
  <c r="B30" i="78"/>
  <c r="B27" i="78"/>
  <c r="B26" i="78"/>
  <c r="B25" i="78"/>
  <c r="B24" i="78"/>
  <c r="B23" i="78"/>
  <c r="B21" i="78"/>
  <c r="B20" i="78"/>
  <c r="B19" i="78"/>
  <c r="B18" i="78"/>
  <c r="B17" i="78"/>
  <c r="B16" i="78"/>
  <c r="B15" i="78"/>
  <c r="B14" i="78"/>
  <c r="B13" i="78"/>
  <c r="B12" i="78"/>
  <c r="B11" i="78"/>
  <c r="B10" i="78"/>
  <c r="B9" i="78"/>
  <c r="B8" i="78"/>
  <c r="B7" i="78"/>
  <c r="B6" i="78"/>
  <c r="C28" i="78"/>
  <c r="C31" i="78" s="1"/>
  <c r="B14" i="77"/>
  <c r="A14" i="77"/>
  <c r="B13" i="77"/>
  <c r="A13" i="77"/>
  <c r="B7" i="77"/>
  <c r="A7" i="77"/>
  <c r="B6" i="77"/>
  <c r="A6" i="77"/>
  <c r="B5" i="77"/>
  <c r="A5" i="77"/>
  <c r="C26" i="46"/>
  <c r="B26" i="46"/>
  <c r="A26" i="46"/>
  <c r="B2" i="23"/>
  <c r="A23" i="14"/>
  <c r="A23" i="15"/>
  <c r="A25" i="43"/>
  <c r="AA23" i="18"/>
  <c r="C23" i="18"/>
  <c r="A23" i="4"/>
  <c r="A24" i="5"/>
  <c r="A23" i="6"/>
  <c r="A25" i="7"/>
  <c r="A25" i="8"/>
  <c r="A24" i="20"/>
  <c r="A23" i="58"/>
  <c r="B20" i="35"/>
  <c r="C20" i="35"/>
  <c r="D21" i="35" s="1"/>
  <c r="A20" i="35"/>
  <c r="C19" i="35"/>
  <c r="B19" i="35"/>
  <c r="A19" i="35"/>
  <c r="B16" i="64"/>
  <c r="A16" i="64"/>
  <c r="B15" i="64"/>
  <c r="A15" i="64"/>
  <c r="B14" i="64"/>
  <c r="A14" i="64"/>
  <c r="B13" i="64"/>
  <c r="A13" i="64"/>
  <c r="B12" i="64"/>
  <c r="A12" i="64"/>
  <c r="B11" i="64"/>
  <c r="A11" i="64"/>
  <c r="B10" i="64"/>
  <c r="A10" i="64"/>
  <c r="B9" i="64"/>
  <c r="A9" i="64"/>
  <c r="B8" i="64"/>
  <c r="A8" i="64"/>
  <c r="B7" i="64"/>
  <c r="A7" i="64"/>
  <c r="B6" i="64"/>
  <c r="A6" i="64"/>
  <c r="C27" i="46"/>
  <c r="C28" i="46"/>
  <c r="C29" i="46"/>
  <c r="C30" i="46"/>
  <c r="B27" i="46"/>
  <c r="B28" i="46"/>
  <c r="B29" i="46"/>
  <c r="B30" i="46"/>
  <c r="A27" i="46"/>
  <c r="A28" i="46"/>
  <c r="A29" i="46"/>
  <c r="A30" i="46"/>
  <c r="P23" i="8"/>
  <c r="O23" i="8"/>
  <c r="AB16" i="5"/>
  <c r="J17" i="30" s="1"/>
  <c r="AA16" i="5"/>
  <c r="E17" i="30" s="1"/>
  <c r="AB15" i="5"/>
  <c r="J16" i="30" s="1"/>
  <c r="AA15" i="5"/>
  <c r="E16" i="30" s="1"/>
  <c r="AB14" i="5"/>
  <c r="AA14" i="5"/>
  <c r="E15" i="30" s="1"/>
  <c r="AB13" i="5"/>
  <c r="J14" i="30" s="1"/>
  <c r="AA13" i="5"/>
  <c r="E14" i="30" s="1"/>
  <c r="AB12" i="5"/>
  <c r="J13" i="30" s="1"/>
  <c r="AA12" i="5"/>
  <c r="E13" i="30" s="1"/>
  <c r="AB11" i="5"/>
  <c r="J12" i="30" s="1"/>
  <c r="AA11" i="5"/>
  <c r="E12" i="30" s="1"/>
  <c r="AB10" i="5"/>
  <c r="J11" i="30" s="1"/>
  <c r="AA10" i="5"/>
  <c r="E11" i="30" s="1"/>
  <c r="AB9" i="5"/>
  <c r="AA9" i="5"/>
  <c r="E10" i="30" s="1"/>
  <c r="AB8" i="5"/>
  <c r="J9" i="30" s="1"/>
  <c r="AA8" i="5"/>
  <c r="E9" i="30" s="1"/>
  <c r="AB7" i="5"/>
  <c r="J8" i="30" s="1"/>
  <c r="AA7" i="5"/>
  <c r="E8" i="30" s="1"/>
  <c r="AB6" i="5"/>
  <c r="J7" i="30" s="1"/>
  <c r="AA6" i="5"/>
  <c r="E7" i="30" s="1"/>
  <c r="X22" i="5"/>
  <c r="W22" i="5"/>
  <c r="X16" i="6"/>
  <c r="I17" i="30" s="1"/>
  <c r="X15" i="6"/>
  <c r="I16" i="30" s="1"/>
  <c r="X14" i="6"/>
  <c r="I15" i="30" s="1"/>
  <c r="X13" i="6"/>
  <c r="I14" i="30" s="1"/>
  <c r="X12" i="6"/>
  <c r="I13" i="30" s="1"/>
  <c r="X11" i="6"/>
  <c r="I12" i="30" s="1"/>
  <c r="X10" i="6"/>
  <c r="I11" i="30" s="1"/>
  <c r="X9" i="6"/>
  <c r="I10" i="30" s="1"/>
  <c r="X8" i="6"/>
  <c r="I9" i="30"/>
  <c r="X7" i="6"/>
  <c r="I8" i="30" s="1"/>
  <c r="X6" i="6"/>
  <c r="I7" i="30" s="1"/>
  <c r="T22" i="6"/>
  <c r="S22" i="6"/>
  <c r="C7" i="35"/>
  <c r="B7" i="35"/>
  <c r="V8" i="32"/>
  <c r="V9" i="32"/>
  <c r="V10" i="32"/>
  <c r="J10" i="32"/>
  <c r="J9" i="32"/>
  <c r="J8" i="32"/>
  <c r="E16" i="46"/>
  <c r="E14" i="46"/>
  <c r="E15" i="46"/>
  <c r="C16" i="46"/>
  <c r="G16" i="46" s="1"/>
  <c r="B16" i="46"/>
  <c r="A16" i="46"/>
  <c r="K23" i="47"/>
  <c r="K24" i="47"/>
  <c r="K25" i="47"/>
  <c r="K26" i="47"/>
  <c r="K22" i="47"/>
  <c r="A6" i="48"/>
  <c r="B6" i="48"/>
  <c r="E6" i="48"/>
  <c r="A7" i="48"/>
  <c r="B7" i="48"/>
  <c r="E7" i="48"/>
  <c r="A8" i="48"/>
  <c r="B8" i="48"/>
  <c r="E8" i="48"/>
  <c r="A9" i="48"/>
  <c r="B9" i="48"/>
  <c r="E9" i="48"/>
  <c r="A10" i="48"/>
  <c r="B10" i="48"/>
  <c r="E10" i="48"/>
  <c r="A11" i="48"/>
  <c r="B11" i="48"/>
  <c r="E11" i="48"/>
  <c r="A12" i="48"/>
  <c r="B12" i="48"/>
  <c r="E12" i="48"/>
  <c r="A13" i="48"/>
  <c r="B13" i="48"/>
  <c r="E13" i="48"/>
  <c r="A14" i="48"/>
  <c r="B14" i="48"/>
  <c r="E14" i="48"/>
  <c r="A15" i="48"/>
  <c r="B15" i="48"/>
  <c r="E15" i="48"/>
  <c r="A16" i="48"/>
  <c r="B16" i="48"/>
  <c r="E16" i="48"/>
  <c r="A6" i="45"/>
  <c r="B6" i="45"/>
  <c r="A7" i="45"/>
  <c r="B7" i="45"/>
  <c r="A8" i="45"/>
  <c r="B8" i="45"/>
  <c r="A9" i="45"/>
  <c r="B9" i="45"/>
  <c r="A10" i="45"/>
  <c r="B10" i="45"/>
  <c r="A11" i="45"/>
  <c r="B11" i="45"/>
  <c r="A12" i="45"/>
  <c r="B12" i="45"/>
  <c r="A13" i="45"/>
  <c r="B13" i="45"/>
  <c r="A14" i="45"/>
  <c r="B14" i="45"/>
  <c r="A15" i="45"/>
  <c r="B15" i="45"/>
  <c r="A16" i="45"/>
  <c r="B16" i="45"/>
  <c r="D16" i="45"/>
  <c r="A21" i="45"/>
  <c r="B21" i="45"/>
  <c r="C4" i="44"/>
  <c r="A6" i="44"/>
  <c r="A7" i="44"/>
  <c r="B7" i="44"/>
  <c r="A8" i="44"/>
  <c r="B8" i="44"/>
  <c r="A9" i="44"/>
  <c r="B9" i="44"/>
  <c r="A10" i="44"/>
  <c r="B10" i="44"/>
  <c r="A11" i="44"/>
  <c r="B11" i="44"/>
  <c r="A12" i="44"/>
  <c r="B12" i="44"/>
  <c r="A13" i="44"/>
  <c r="B13" i="44"/>
  <c r="A14" i="44"/>
  <c r="B14" i="44"/>
  <c r="A15" i="44"/>
  <c r="B15" i="44"/>
  <c r="A16" i="44"/>
  <c r="B16" i="44"/>
  <c r="A6" i="46"/>
  <c r="B6" i="46"/>
  <c r="C6" i="46"/>
  <c r="A7" i="46"/>
  <c r="B7" i="46"/>
  <c r="C7" i="46"/>
  <c r="A8" i="46"/>
  <c r="B8" i="46"/>
  <c r="C8" i="46"/>
  <c r="A9" i="46"/>
  <c r="B9" i="46"/>
  <c r="C9" i="46"/>
  <c r="A10" i="46"/>
  <c r="B10" i="46"/>
  <c r="C10" i="46"/>
  <c r="A11" i="46"/>
  <c r="B11" i="46"/>
  <c r="C11" i="46"/>
  <c r="A12" i="46"/>
  <c r="B12" i="46"/>
  <c r="C12" i="46"/>
  <c r="A13" i="46"/>
  <c r="B13" i="46"/>
  <c r="C13" i="46"/>
  <c r="A14" i="46"/>
  <c r="B14" i="46"/>
  <c r="C14" i="46"/>
  <c r="G14" i="46" s="1"/>
  <c r="A15" i="46"/>
  <c r="B15" i="46"/>
  <c r="C15" i="46"/>
  <c r="G15" i="46" s="1"/>
  <c r="A17" i="46"/>
  <c r="B17" i="46"/>
  <c r="C17" i="46"/>
  <c r="A18" i="46"/>
  <c r="B18" i="46"/>
  <c r="C18" i="46"/>
  <c r="A19" i="46"/>
  <c r="B19" i="46"/>
  <c r="C19" i="46"/>
  <c r="A20" i="46"/>
  <c r="B20" i="46"/>
  <c r="C20" i="46"/>
  <c r="A21" i="46"/>
  <c r="B21" i="46"/>
  <c r="C21" i="46"/>
  <c r="A22" i="46"/>
  <c r="B22" i="46"/>
  <c r="C22" i="46"/>
  <c r="A23" i="46"/>
  <c r="B23" i="46"/>
  <c r="C23" i="46"/>
  <c r="A24" i="46"/>
  <c r="B24" i="46"/>
  <c r="C24" i="46"/>
  <c r="E24" i="46" s="1"/>
  <c r="A25" i="46"/>
  <c r="B25" i="46"/>
  <c r="C25" i="46"/>
  <c r="A6" i="29"/>
  <c r="B6" i="29"/>
  <c r="A7" i="29"/>
  <c r="B7" i="29"/>
  <c r="A8" i="29"/>
  <c r="B8" i="29"/>
  <c r="A9" i="29"/>
  <c r="B9" i="29"/>
  <c r="A10" i="29"/>
  <c r="B10" i="29"/>
  <c r="A11" i="29"/>
  <c r="B11" i="29"/>
  <c r="A12" i="29"/>
  <c r="B12" i="29"/>
  <c r="A13" i="29"/>
  <c r="B13" i="29"/>
  <c r="A14" i="29"/>
  <c r="B14" i="29"/>
  <c r="A15" i="29"/>
  <c r="B15" i="29"/>
  <c r="A16" i="29"/>
  <c r="B16" i="29"/>
  <c r="C13" i="35"/>
  <c r="C14" i="35"/>
  <c r="C15" i="35"/>
  <c r="C16" i="35"/>
  <c r="B5" i="35"/>
  <c r="D5" i="35" s="1"/>
  <c r="C5" i="35"/>
  <c r="B6" i="35"/>
  <c r="C6" i="35"/>
  <c r="C4" i="33"/>
  <c r="A6" i="33"/>
  <c r="B6" i="33"/>
  <c r="A7" i="33"/>
  <c r="B7" i="33"/>
  <c r="A8" i="33"/>
  <c r="B8" i="33"/>
  <c r="A9" i="33"/>
  <c r="B9" i="33"/>
  <c r="A10" i="33"/>
  <c r="B10" i="33"/>
  <c r="A11" i="33"/>
  <c r="B11" i="33"/>
  <c r="A12" i="33"/>
  <c r="B12" i="33"/>
  <c r="A13" i="33"/>
  <c r="B13" i="33"/>
  <c r="A14" i="33"/>
  <c r="B14" i="33"/>
  <c r="A15" i="33"/>
  <c r="B15" i="33"/>
  <c r="A16" i="33"/>
  <c r="B16" i="33"/>
  <c r="A22" i="33"/>
  <c r="A3" i="32"/>
  <c r="C6" i="32"/>
  <c r="O6" i="32"/>
  <c r="A8" i="32"/>
  <c r="B8" i="32"/>
  <c r="D8" i="32"/>
  <c r="E8" i="32"/>
  <c r="F8" i="32"/>
  <c r="G8" i="32"/>
  <c r="H8" i="32"/>
  <c r="I8" i="32"/>
  <c r="P8" i="32"/>
  <c r="Q8" i="32"/>
  <c r="R8" i="32"/>
  <c r="S8" i="32"/>
  <c r="T8" i="32"/>
  <c r="U8" i="32"/>
  <c r="A9" i="32"/>
  <c r="B9" i="32"/>
  <c r="D9" i="32"/>
  <c r="E9" i="32"/>
  <c r="F9" i="32"/>
  <c r="G9" i="32"/>
  <c r="H9" i="32"/>
  <c r="H10" i="32"/>
  <c r="I9" i="32"/>
  <c r="P9" i="32"/>
  <c r="Q9" i="32"/>
  <c r="R9" i="32"/>
  <c r="S9" i="32"/>
  <c r="T9" i="32"/>
  <c r="U9" i="32"/>
  <c r="A10" i="32"/>
  <c r="B10" i="32"/>
  <c r="D10" i="32"/>
  <c r="E10" i="32"/>
  <c r="F10" i="32"/>
  <c r="G10" i="32"/>
  <c r="I10" i="32"/>
  <c r="P10" i="32"/>
  <c r="Q10" i="32"/>
  <c r="R10" i="32"/>
  <c r="S10" i="32"/>
  <c r="T10" i="32"/>
  <c r="U10" i="32"/>
  <c r="A11" i="32"/>
  <c r="B11" i="32"/>
  <c r="A12" i="32"/>
  <c r="B12" i="32"/>
  <c r="A13" i="32"/>
  <c r="B13" i="32"/>
  <c r="A14" i="32"/>
  <c r="B14" i="32"/>
  <c r="A15" i="32"/>
  <c r="B15" i="32"/>
  <c r="A16" i="32"/>
  <c r="B16" i="32"/>
  <c r="A17" i="32"/>
  <c r="B17" i="32"/>
  <c r="A18" i="32"/>
  <c r="B18" i="32"/>
  <c r="A24" i="32"/>
  <c r="A3" i="30"/>
  <c r="C5" i="30"/>
  <c r="H5" i="30"/>
  <c r="A7" i="30"/>
  <c r="B7" i="30"/>
  <c r="A8" i="30"/>
  <c r="B8" i="30"/>
  <c r="A9" i="30"/>
  <c r="B9" i="30"/>
  <c r="A10" i="30"/>
  <c r="B10" i="30"/>
  <c r="A11" i="30"/>
  <c r="B11" i="30"/>
  <c r="A12" i="30"/>
  <c r="B12" i="30"/>
  <c r="A13" i="30"/>
  <c r="B13" i="30"/>
  <c r="A14" i="30"/>
  <c r="B14" i="30"/>
  <c r="A15" i="30"/>
  <c r="B15" i="30"/>
  <c r="A16" i="30"/>
  <c r="B16" i="30"/>
  <c r="A17" i="30"/>
  <c r="B17" i="30"/>
  <c r="A23" i="30"/>
  <c r="A3" i="31"/>
  <c r="C4" i="31"/>
  <c r="H4" i="31"/>
  <c r="I4" i="31"/>
  <c r="A6" i="31"/>
  <c r="B6" i="31"/>
  <c r="A7" i="31"/>
  <c r="B7" i="31"/>
  <c r="A8" i="31"/>
  <c r="B8" i="31"/>
  <c r="A9" i="31"/>
  <c r="B9" i="31"/>
  <c r="A10" i="31"/>
  <c r="B10" i="31"/>
  <c r="A11" i="31"/>
  <c r="B11" i="31"/>
  <c r="A12" i="31"/>
  <c r="B12" i="31"/>
  <c r="A13" i="31"/>
  <c r="B13" i="31"/>
  <c r="A14" i="31"/>
  <c r="B14" i="31"/>
  <c r="A15" i="31"/>
  <c r="B15" i="31"/>
  <c r="A16" i="31"/>
  <c r="B16" i="31"/>
  <c r="A21" i="31"/>
  <c r="B21" i="31"/>
  <c r="A22" i="31"/>
  <c r="F5" i="58"/>
  <c r="J5" i="58"/>
  <c r="L5" i="58"/>
  <c r="N5" i="58"/>
  <c r="O5" i="58"/>
  <c r="T5" i="58"/>
  <c r="A6" i="58"/>
  <c r="B6" i="58"/>
  <c r="A7" i="58"/>
  <c r="B7" i="58"/>
  <c r="A8" i="58"/>
  <c r="B8" i="58"/>
  <c r="A9" i="58"/>
  <c r="B9" i="58"/>
  <c r="A10" i="58"/>
  <c r="B10" i="58"/>
  <c r="A11" i="58"/>
  <c r="B11" i="58"/>
  <c r="A12" i="58"/>
  <c r="B12" i="58"/>
  <c r="A13" i="58"/>
  <c r="B13" i="58"/>
  <c r="A14" i="58"/>
  <c r="B14" i="58"/>
  <c r="A15" i="58"/>
  <c r="B15" i="58"/>
  <c r="A16" i="58"/>
  <c r="B16" i="58"/>
  <c r="A6" i="14"/>
  <c r="B6" i="14"/>
  <c r="A7" i="14"/>
  <c r="B7" i="14"/>
  <c r="A8" i="14"/>
  <c r="B8" i="14"/>
  <c r="A9" i="14"/>
  <c r="B9" i="14"/>
  <c r="A10" i="14"/>
  <c r="B10" i="14"/>
  <c r="A11" i="14"/>
  <c r="B11" i="14"/>
  <c r="A12" i="14"/>
  <c r="B12" i="14"/>
  <c r="A13" i="14"/>
  <c r="B13" i="14"/>
  <c r="A14" i="14"/>
  <c r="B14" i="14"/>
  <c r="A15" i="14"/>
  <c r="B15" i="14"/>
  <c r="A16" i="14"/>
  <c r="B16" i="14"/>
  <c r="A6" i="15"/>
  <c r="B6" i="15"/>
  <c r="A7" i="15"/>
  <c r="B7" i="15"/>
  <c r="A8" i="15"/>
  <c r="B8" i="15"/>
  <c r="A9" i="15"/>
  <c r="B9" i="15"/>
  <c r="A10" i="15"/>
  <c r="B10" i="15"/>
  <c r="A11" i="15"/>
  <c r="B11" i="15"/>
  <c r="A12" i="15"/>
  <c r="B12" i="15"/>
  <c r="A13" i="15"/>
  <c r="B13" i="15"/>
  <c r="A14" i="15"/>
  <c r="B14" i="15"/>
  <c r="A15" i="15"/>
  <c r="B15" i="15"/>
  <c r="A16" i="15"/>
  <c r="B16" i="15"/>
  <c r="A8" i="43"/>
  <c r="B8" i="43"/>
  <c r="A9" i="43"/>
  <c r="B9" i="43"/>
  <c r="A10" i="43"/>
  <c r="B10" i="43"/>
  <c r="A11" i="43"/>
  <c r="B11" i="43"/>
  <c r="A12" i="43"/>
  <c r="B12" i="43"/>
  <c r="A13" i="43"/>
  <c r="B13" i="43"/>
  <c r="A14" i="43"/>
  <c r="B14" i="43"/>
  <c r="A15" i="43"/>
  <c r="B15" i="43"/>
  <c r="A16" i="43"/>
  <c r="B16" i="43"/>
  <c r="A17" i="43"/>
  <c r="B17" i="43"/>
  <c r="A18" i="43"/>
  <c r="B18" i="43"/>
  <c r="A6" i="18"/>
  <c r="B6" i="18"/>
  <c r="AU6" i="18"/>
  <c r="L8" i="32" s="1"/>
  <c r="AV6" i="18"/>
  <c r="X8" i="32" s="1"/>
  <c r="A7" i="18"/>
  <c r="B7" i="18"/>
  <c r="AU7" i="18"/>
  <c r="L9" i="32" s="1"/>
  <c r="AV7" i="18"/>
  <c r="A8" i="18"/>
  <c r="B8" i="18"/>
  <c r="AU8" i="18"/>
  <c r="AV8" i="18"/>
  <c r="X10" i="32" s="1"/>
  <c r="A9" i="18"/>
  <c r="B9" i="18"/>
  <c r="AU9" i="18"/>
  <c r="AV9" i="18"/>
  <c r="X11" i="32" s="1"/>
  <c r="A10" i="18"/>
  <c r="B10" i="18"/>
  <c r="AU10" i="18"/>
  <c r="L12" i="32" s="1"/>
  <c r="AV10" i="18"/>
  <c r="X12" i="32" s="1"/>
  <c r="A11" i="18"/>
  <c r="B11" i="18"/>
  <c r="AU11" i="18"/>
  <c r="L13" i="32" s="1"/>
  <c r="AV11" i="18"/>
  <c r="X13" i="32" s="1"/>
  <c r="A12" i="18"/>
  <c r="B12" i="18"/>
  <c r="AU12" i="18"/>
  <c r="L14" i="32" s="1"/>
  <c r="AV12" i="18"/>
  <c r="X14" i="32" s="1"/>
  <c r="A13" i="18"/>
  <c r="B13" i="18"/>
  <c r="AU13" i="18"/>
  <c r="L15" i="32" s="1"/>
  <c r="AV13" i="18"/>
  <c r="X15" i="32" s="1"/>
  <c r="A14" i="18"/>
  <c r="B14" i="18"/>
  <c r="AU14" i="18"/>
  <c r="L16" i="32" s="1"/>
  <c r="AV14" i="18"/>
  <c r="X16" i="32" s="1"/>
  <c r="A15" i="18"/>
  <c r="B15" i="18"/>
  <c r="AU15" i="18"/>
  <c r="L17" i="32" s="1"/>
  <c r="AV15" i="18"/>
  <c r="X17" i="32" s="1"/>
  <c r="A16" i="18"/>
  <c r="B16" i="18"/>
  <c r="AU16" i="18"/>
  <c r="L18" i="32" s="1"/>
  <c r="AV16" i="18"/>
  <c r="X18" i="32" s="1"/>
  <c r="C22" i="18"/>
  <c r="D22" i="18"/>
  <c r="E22" i="18"/>
  <c r="F22" i="18"/>
  <c r="G22" i="18"/>
  <c r="H22" i="18"/>
  <c r="I22" i="18"/>
  <c r="J22" i="18"/>
  <c r="K22" i="18"/>
  <c r="L22" i="18"/>
  <c r="M22" i="18"/>
  <c r="N22" i="18"/>
  <c r="O22" i="18"/>
  <c r="P22" i="18"/>
  <c r="Q22" i="18"/>
  <c r="R22" i="18"/>
  <c r="S22" i="18"/>
  <c r="T22" i="18"/>
  <c r="U22" i="18"/>
  <c r="V22" i="18"/>
  <c r="W22" i="18"/>
  <c r="X22" i="18"/>
  <c r="Y22" i="18"/>
  <c r="Z22" i="18"/>
  <c r="AA22" i="18"/>
  <c r="AB22" i="18"/>
  <c r="AC22" i="18"/>
  <c r="AD22" i="18"/>
  <c r="AE22" i="18"/>
  <c r="AF22" i="18"/>
  <c r="AG22" i="18"/>
  <c r="AH22" i="18"/>
  <c r="AI22" i="18"/>
  <c r="AJ22" i="18"/>
  <c r="AK22" i="18"/>
  <c r="AL22" i="18"/>
  <c r="AM22" i="18"/>
  <c r="AN22" i="18"/>
  <c r="AO22" i="18"/>
  <c r="AP22" i="18"/>
  <c r="AQ22" i="18"/>
  <c r="AR22" i="18"/>
  <c r="AS22" i="18"/>
  <c r="AT22" i="18"/>
  <c r="A6" i="4"/>
  <c r="B6" i="4"/>
  <c r="P6" i="4"/>
  <c r="K7" i="30" s="1"/>
  <c r="A7" i="4"/>
  <c r="B7" i="4"/>
  <c r="P7" i="4"/>
  <c r="K8" i="30" s="1"/>
  <c r="A8" i="4"/>
  <c r="B8" i="4"/>
  <c r="P8" i="4"/>
  <c r="K9" i="30"/>
  <c r="A9" i="4"/>
  <c r="B9" i="4"/>
  <c r="P9" i="4"/>
  <c r="K10" i="30" s="1"/>
  <c r="A10" i="4"/>
  <c r="B10" i="4"/>
  <c r="P10" i="4"/>
  <c r="K11" i="30" s="1"/>
  <c r="A11" i="4"/>
  <c r="B11" i="4"/>
  <c r="P11" i="4"/>
  <c r="K12" i="30" s="1"/>
  <c r="A12" i="4"/>
  <c r="B12" i="4"/>
  <c r="P12" i="4"/>
  <c r="K13" i="30" s="1"/>
  <c r="A13" i="4"/>
  <c r="B13" i="4"/>
  <c r="P13" i="4"/>
  <c r="K14" i="30" s="1"/>
  <c r="A14" i="4"/>
  <c r="B14" i="4"/>
  <c r="P14" i="4"/>
  <c r="K15" i="30" s="1"/>
  <c r="A15" i="4"/>
  <c r="B15" i="4"/>
  <c r="P15" i="4"/>
  <c r="K16" i="30" s="1"/>
  <c r="A16" i="4"/>
  <c r="B16" i="4"/>
  <c r="P16" i="4"/>
  <c r="K17" i="30" s="1"/>
  <c r="C22" i="4"/>
  <c r="D22" i="4"/>
  <c r="E22" i="4"/>
  <c r="F22" i="4"/>
  <c r="G22" i="4"/>
  <c r="H22" i="4"/>
  <c r="I22" i="4"/>
  <c r="J22" i="4"/>
  <c r="K22" i="4"/>
  <c r="L22" i="4"/>
  <c r="M22" i="4"/>
  <c r="N22" i="4"/>
  <c r="A6" i="5"/>
  <c r="B6" i="5"/>
  <c r="A7" i="5"/>
  <c r="B7" i="5"/>
  <c r="A8" i="5"/>
  <c r="B8" i="5"/>
  <c r="A9" i="5"/>
  <c r="B9" i="5"/>
  <c r="A10" i="5"/>
  <c r="B10" i="5"/>
  <c r="A11" i="5"/>
  <c r="B11" i="5"/>
  <c r="A12" i="5"/>
  <c r="B12" i="5"/>
  <c r="A13" i="5"/>
  <c r="B13" i="5"/>
  <c r="A14" i="5"/>
  <c r="B14" i="5"/>
  <c r="J15" i="30"/>
  <c r="A15" i="5"/>
  <c r="B15" i="5"/>
  <c r="A16" i="5"/>
  <c r="B16" i="5"/>
  <c r="C22" i="5"/>
  <c r="D22" i="5"/>
  <c r="E22" i="5"/>
  <c r="F22" i="5"/>
  <c r="G22" i="5"/>
  <c r="H22" i="5"/>
  <c r="I22" i="5"/>
  <c r="J22" i="5"/>
  <c r="K22" i="5"/>
  <c r="L22" i="5"/>
  <c r="M22" i="5"/>
  <c r="N22" i="5"/>
  <c r="O22" i="5"/>
  <c r="P22" i="5"/>
  <c r="Q22" i="5"/>
  <c r="R22" i="5"/>
  <c r="S22" i="5"/>
  <c r="T22" i="5"/>
  <c r="U22" i="5"/>
  <c r="V22" i="5"/>
  <c r="Y22" i="5"/>
  <c r="Z22" i="5"/>
  <c r="A6" i="6"/>
  <c r="B6" i="6"/>
  <c r="A7" i="6"/>
  <c r="B7" i="6"/>
  <c r="A8" i="6"/>
  <c r="B8" i="6"/>
  <c r="A9" i="6"/>
  <c r="B9" i="6"/>
  <c r="A10" i="6"/>
  <c r="B10" i="6"/>
  <c r="A11" i="6"/>
  <c r="B11" i="6"/>
  <c r="A12" i="6"/>
  <c r="B12" i="6"/>
  <c r="A13" i="6"/>
  <c r="B13" i="6"/>
  <c r="A14" i="6"/>
  <c r="B14" i="6"/>
  <c r="A15" i="6"/>
  <c r="B15" i="6"/>
  <c r="A16" i="6"/>
  <c r="B16" i="6"/>
  <c r="C22" i="6"/>
  <c r="D22" i="6"/>
  <c r="E22" i="6"/>
  <c r="F22" i="6"/>
  <c r="G22" i="6"/>
  <c r="H22" i="6"/>
  <c r="I22" i="6"/>
  <c r="J22" i="6"/>
  <c r="K22" i="6"/>
  <c r="L22" i="6"/>
  <c r="M22" i="6"/>
  <c r="N22" i="6"/>
  <c r="O22" i="6"/>
  <c r="P22" i="6"/>
  <c r="Q22" i="6"/>
  <c r="R22" i="6"/>
  <c r="U22" i="6"/>
  <c r="V22" i="6"/>
  <c r="A7" i="7"/>
  <c r="B7" i="7"/>
  <c r="A8" i="7"/>
  <c r="B8" i="7"/>
  <c r="A9" i="7"/>
  <c r="B9" i="7"/>
  <c r="A10" i="7"/>
  <c r="B10" i="7"/>
  <c r="A11" i="7"/>
  <c r="B11" i="7"/>
  <c r="A12" i="7"/>
  <c r="B12" i="7"/>
  <c r="A13" i="7"/>
  <c r="B13" i="7"/>
  <c r="A14" i="7"/>
  <c r="B14" i="7"/>
  <c r="A15" i="7"/>
  <c r="B15" i="7"/>
  <c r="A16" i="7"/>
  <c r="B16" i="7"/>
  <c r="A17" i="7"/>
  <c r="B17" i="7"/>
  <c r="C23" i="7"/>
  <c r="D23" i="7"/>
  <c r="E23" i="7"/>
  <c r="F23" i="7"/>
  <c r="G23" i="7"/>
  <c r="H23" i="7"/>
  <c r="I23" i="7"/>
  <c r="J23" i="7"/>
  <c r="K23" i="7"/>
  <c r="L23" i="7"/>
  <c r="M23" i="7"/>
  <c r="N23" i="7"/>
  <c r="O23" i="7"/>
  <c r="P23" i="7"/>
  <c r="A7" i="8"/>
  <c r="B7" i="8"/>
  <c r="A8" i="8"/>
  <c r="B8" i="8"/>
  <c r="A9" i="8"/>
  <c r="B9" i="8"/>
  <c r="A10" i="8"/>
  <c r="B10" i="8"/>
  <c r="A11" i="8"/>
  <c r="B11" i="8"/>
  <c r="A12" i="8"/>
  <c r="B12" i="8"/>
  <c r="A13" i="8"/>
  <c r="B13" i="8"/>
  <c r="A14" i="8"/>
  <c r="B14" i="8"/>
  <c r="A15" i="8"/>
  <c r="B15" i="8"/>
  <c r="A16" i="8"/>
  <c r="B16" i="8"/>
  <c r="A17" i="8"/>
  <c r="B17" i="8"/>
  <c r="C23" i="8"/>
  <c r="D23" i="8"/>
  <c r="E23" i="8"/>
  <c r="F23" i="8"/>
  <c r="G23" i="8"/>
  <c r="H23" i="8"/>
  <c r="I23" i="8"/>
  <c r="J23" i="8"/>
  <c r="K23" i="8"/>
  <c r="L23" i="8"/>
  <c r="A6" i="20"/>
  <c r="B6" i="20"/>
  <c r="A7" i="20"/>
  <c r="B7" i="20"/>
  <c r="A8" i="20"/>
  <c r="B8" i="20"/>
  <c r="A9" i="20"/>
  <c r="B9" i="20"/>
  <c r="A10" i="20"/>
  <c r="B10" i="20"/>
  <c r="A11" i="20"/>
  <c r="B11" i="20"/>
  <c r="A12" i="20"/>
  <c r="B12" i="20"/>
  <c r="A13" i="20"/>
  <c r="B13" i="20"/>
  <c r="A14" i="20"/>
  <c r="B14" i="20"/>
  <c r="A15" i="20"/>
  <c r="B15" i="20"/>
  <c r="A16" i="20"/>
  <c r="B16" i="20"/>
  <c r="C22" i="20"/>
  <c r="D22" i="20"/>
  <c r="E22" i="20"/>
  <c r="F22" i="20"/>
  <c r="G22" i="20"/>
  <c r="H22" i="20"/>
  <c r="I22" i="20"/>
  <c r="J22" i="20"/>
  <c r="K22" i="20"/>
  <c r="L22" i="20"/>
  <c r="M22" i="20"/>
  <c r="N22" i="20"/>
  <c r="O22" i="20"/>
  <c r="P22" i="20"/>
  <c r="A1" i="53"/>
  <c r="D19" i="53"/>
  <c r="E19" i="53"/>
  <c r="F19" i="53"/>
  <c r="G19" i="53"/>
  <c r="H19" i="53"/>
  <c r="I19" i="53"/>
  <c r="J19" i="53"/>
  <c r="K19" i="53"/>
  <c r="C4" i="2"/>
  <c r="K4" i="2"/>
  <c r="K59" i="47"/>
  <c r="K62" i="47"/>
  <c r="C3" i="47"/>
  <c r="E7" i="31"/>
  <c r="D14" i="45"/>
  <c r="AK9" i="2"/>
  <c r="AJ9" i="15"/>
  <c r="C14" i="31"/>
  <c r="E14" i="58"/>
  <c r="T14" i="58" s="1"/>
  <c r="E14" i="91"/>
  <c r="I7" i="79"/>
  <c r="C14" i="29"/>
  <c r="E14" i="29" s="1"/>
  <c r="D21" i="45"/>
  <c r="I6" i="79"/>
  <c r="H10" i="48"/>
  <c r="D10" i="44"/>
  <c r="D11" i="31"/>
  <c r="K12" i="79"/>
  <c r="D20" i="35"/>
  <c r="I12" i="79"/>
  <c r="D15" i="44"/>
  <c r="X9" i="32"/>
  <c r="E21" i="91"/>
  <c r="K9" i="79"/>
  <c r="C240" i="47"/>
  <c r="F7" i="44"/>
  <c r="C21" i="29"/>
  <c r="E21" i="29" s="1"/>
  <c r="I21" i="29" s="1"/>
  <c r="F21" i="44"/>
  <c r="E7" i="58"/>
  <c r="J7" i="58" s="1"/>
  <c r="D7" i="45"/>
  <c r="C7" i="29"/>
  <c r="E7" i="29" s="1"/>
  <c r="H7" i="29" s="1"/>
  <c r="E6" i="33"/>
  <c r="E6" i="31"/>
  <c r="H14" i="48"/>
  <c r="D14" i="44"/>
  <c r="D14" i="31"/>
  <c r="D8" i="44"/>
  <c r="K11" i="79"/>
  <c r="L8" i="79"/>
  <c r="I8" i="79"/>
  <c r="L7" i="79"/>
  <c r="L12" i="79"/>
  <c r="E12" i="79"/>
  <c r="L6" i="79"/>
  <c r="C7" i="31"/>
  <c r="AK10" i="2"/>
  <c r="AJ10" i="15" s="1"/>
  <c r="AK8" i="2"/>
  <c r="AJ8" i="15" s="1"/>
  <c r="C13" i="31"/>
  <c r="C22" i="2"/>
  <c r="C9" i="31"/>
  <c r="F8" i="44"/>
  <c r="H12" i="48"/>
  <c r="C18" i="31"/>
  <c r="K8" i="79"/>
  <c r="E8" i="79"/>
  <c r="E13" i="125"/>
  <c r="J13" i="125"/>
  <c r="G13" i="125"/>
  <c r="F11" i="44"/>
  <c r="E6" i="58"/>
  <c r="T6" i="58" s="1"/>
  <c r="C18" i="29"/>
  <c r="E18" i="29" s="1"/>
  <c r="J11" i="58"/>
  <c r="E19" i="58"/>
  <c r="O19" i="58" s="1"/>
  <c r="F13" i="44"/>
  <c r="E18" i="58"/>
  <c r="F19" i="44"/>
  <c r="C13" i="29"/>
  <c r="E13" i="29" s="1"/>
  <c r="C19" i="29"/>
  <c r="E19" i="29" s="1"/>
  <c r="E19" i="91"/>
  <c r="E13" i="58"/>
  <c r="N13" i="58" s="1"/>
  <c r="E18" i="91"/>
  <c r="E13" i="91"/>
  <c r="AZ24" i="43"/>
  <c r="R6" i="58"/>
  <c r="E17" i="91"/>
  <c r="E17" i="58"/>
  <c r="T17" i="58" s="1"/>
  <c r="C8" i="29"/>
  <c r="E8" i="29" s="1"/>
  <c r="I8" i="29" s="1"/>
  <c r="D18" i="45"/>
  <c r="G7" i="29"/>
  <c r="E8" i="58"/>
  <c r="R8" i="58" s="1"/>
  <c r="E8" i="91"/>
  <c r="D8" i="45"/>
  <c r="D17" i="45"/>
  <c r="C17" i="29"/>
  <c r="E17" i="29" s="1"/>
  <c r="H6" i="48"/>
  <c r="D20" i="31"/>
  <c r="D6" i="31"/>
  <c r="D20" i="33"/>
  <c r="D18" i="33"/>
  <c r="H20" i="48"/>
  <c r="D9" i="44"/>
  <c r="H19" i="48"/>
  <c r="D18" i="44"/>
  <c r="D6" i="44"/>
  <c r="J30" i="125"/>
  <c r="L30" i="125"/>
  <c r="G30" i="125"/>
  <c r="F13" i="125"/>
  <c r="B14" i="35" s="1"/>
  <c r="E14" i="35" s="1"/>
  <c r="I13" i="125"/>
  <c r="B16" i="35" s="1"/>
  <c r="K30" i="125"/>
  <c r="C30" i="125"/>
  <c r="E30" i="125"/>
  <c r="I30" i="125"/>
  <c r="D30" i="125"/>
  <c r="F30" i="125"/>
  <c r="H30" i="125"/>
  <c r="O13" i="58"/>
  <c r="J13" i="58"/>
  <c r="K13" i="58"/>
  <c r="R13" i="58"/>
  <c r="T18" i="58"/>
  <c r="K18" i="58"/>
  <c r="L8" i="58"/>
  <c r="D7" i="35" l="1"/>
  <c r="P21" i="58"/>
  <c r="O21" i="58"/>
  <c r="L21" i="58"/>
  <c r="K21" i="58"/>
  <c r="N21" i="58"/>
  <c r="R21" i="58"/>
  <c r="J21" i="58"/>
  <c r="Q21" i="58"/>
  <c r="I21" i="58"/>
  <c r="T21" i="58"/>
  <c r="I13" i="79"/>
  <c r="D13" i="79"/>
  <c r="L10" i="79"/>
  <c r="E10" i="79"/>
  <c r="K10" i="79"/>
  <c r="E7" i="79"/>
  <c r="K7" i="79"/>
  <c r="L9" i="2"/>
  <c r="O11" i="32" s="1"/>
  <c r="L14" i="2"/>
  <c r="H15" i="30" s="1"/>
  <c r="Q13" i="58"/>
  <c r="E19" i="35"/>
  <c r="E7" i="35"/>
  <c r="D8" i="33"/>
  <c r="AK14" i="2"/>
  <c r="AJ14" i="15" s="1"/>
  <c r="L12" i="2"/>
  <c r="O14" i="32" s="1"/>
  <c r="E11" i="33"/>
  <c r="D21" i="33"/>
  <c r="E12" i="46"/>
  <c r="C12" i="44"/>
  <c r="F22" i="2"/>
  <c r="E9" i="33"/>
  <c r="L6" i="2"/>
  <c r="L10" i="2"/>
  <c r="D11" i="33"/>
  <c r="E20" i="31"/>
  <c r="K6" i="2"/>
  <c r="D14" i="35"/>
  <c r="L15" i="2"/>
  <c r="O17" i="32" s="1"/>
  <c r="C13" i="125"/>
  <c r="L9" i="79"/>
  <c r="L13" i="79" s="1"/>
  <c r="H13" i="79"/>
  <c r="C8" i="31"/>
  <c r="A1" i="44"/>
  <c r="A1" i="122"/>
  <c r="A1" i="113"/>
  <c r="A6" i="117"/>
  <c r="A6" i="118"/>
  <c r="A6" i="120"/>
  <c r="A1" i="115"/>
  <c r="A1" i="111"/>
  <c r="A1" i="114"/>
  <c r="A6" i="119"/>
  <c r="A6" i="116"/>
  <c r="A1" i="112"/>
  <c r="D12" i="31"/>
  <c r="AK20" i="2"/>
  <c r="AJ20" i="15" s="1"/>
  <c r="D13" i="125"/>
  <c r="E13" i="31"/>
  <c r="L8" i="2"/>
  <c r="K13" i="2"/>
  <c r="C14" i="30" s="1"/>
  <c r="G14" i="30" s="1"/>
  <c r="AK6" i="2"/>
  <c r="AJ6" i="15" s="1"/>
  <c r="D13" i="44"/>
  <c r="E19" i="33"/>
  <c r="Q19" i="58"/>
  <c r="R19" i="58"/>
  <c r="L20" i="2"/>
  <c r="AY20" i="18" s="1"/>
  <c r="E9" i="79"/>
  <c r="P19" i="58"/>
  <c r="T13" i="58"/>
  <c r="K18" i="2"/>
  <c r="C6" i="79"/>
  <c r="P13" i="58"/>
  <c r="S13" i="58" s="1"/>
  <c r="H18" i="48"/>
  <c r="E18" i="31"/>
  <c r="H13" i="125"/>
  <c r="B15" i="35" s="1"/>
  <c r="E6" i="35"/>
  <c r="L16" i="2"/>
  <c r="C20" i="31"/>
  <c r="L7" i="2"/>
  <c r="L13" i="58"/>
  <c r="I7" i="29"/>
  <c r="I13" i="58"/>
  <c r="D19" i="35"/>
  <c r="K9" i="2"/>
  <c r="H7" i="48"/>
  <c r="AK19" i="2"/>
  <c r="AJ19" i="15" s="1"/>
  <c r="E17" i="31"/>
  <c r="L6" i="58"/>
  <c r="E16" i="58"/>
  <c r="K16" i="58" s="1"/>
  <c r="J22" i="15"/>
  <c r="AW10" i="126"/>
  <c r="F247" i="47" s="1"/>
  <c r="I6" i="58"/>
  <c r="M6" i="58" s="1"/>
  <c r="C16" i="29"/>
  <c r="E16" i="29" s="1"/>
  <c r="G16" i="29" s="1"/>
  <c r="G22" i="15"/>
  <c r="Q6" i="58"/>
  <c r="D6" i="45"/>
  <c r="K6" i="58"/>
  <c r="J6" i="58"/>
  <c r="E6" i="91"/>
  <c r="N6" i="58"/>
  <c r="P6" i="58"/>
  <c r="C6" i="29"/>
  <c r="E6" i="29" s="1"/>
  <c r="C12" i="29"/>
  <c r="E12" i="29" s="1"/>
  <c r="I12" i="29" s="1"/>
  <c r="F16" i="44"/>
  <c r="I22" i="15"/>
  <c r="Q17" i="58"/>
  <c r="L19" i="58"/>
  <c r="I19" i="58"/>
  <c r="N14" i="58"/>
  <c r="Q14" i="58"/>
  <c r="K19" i="58"/>
  <c r="N19" i="58"/>
  <c r="J14" i="58"/>
  <c r="J19" i="58"/>
  <c r="O14" i="58"/>
  <c r="T19" i="58"/>
  <c r="E11" i="91"/>
  <c r="N11" i="58"/>
  <c r="I11" i="58"/>
  <c r="M11" i="58" s="1"/>
  <c r="D22" i="15"/>
  <c r="L11" i="58"/>
  <c r="D12" i="45"/>
  <c r="AI22" i="15"/>
  <c r="C11" i="29"/>
  <c r="E11" i="29" s="1"/>
  <c r="R11" i="58"/>
  <c r="E12" i="58"/>
  <c r="T11" i="58"/>
  <c r="O11" i="58"/>
  <c r="Q11" i="58"/>
  <c r="H22" i="15"/>
  <c r="F22" i="15"/>
  <c r="P11" i="58"/>
  <c r="S11" i="58" s="1"/>
  <c r="D11" i="45"/>
  <c r="F12" i="44"/>
  <c r="I8" i="58"/>
  <c r="E22" i="15"/>
  <c r="AB22" i="5"/>
  <c r="W22" i="6"/>
  <c r="I23" i="30"/>
  <c r="E14" i="33"/>
  <c r="E12" i="31"/>
  <c r="E15" i="33"/>
  <c r="E21" i="31"/>
  <c r="E19" i="31"/>
  <c r="E17" i="33"/>
  <c r="V23" i="7"/>
  <c r="E8" i="33"/>
  <c r="D15" i="31"/>
  <c r="D7" i="31"/>
  <c r="D15" i="33"/>
  <c r="D7" i="44"/>
  <c r="D7" i="33"/>
  <c r="D11" i="44"/>
  <c r="D19" i="44"/>
  <c r="D24" i="32"/>
  <c r="V24" i="32"/>
  <c r="R24" i="32"/>
  <c r="AX18" i="18"/>
  <c r="C19" i="30"/>
  <c r="O12" i="32"/>
  <c r="Y12" i="32" s="1"/>
  <c r="H11" i="30"/>
  <c r="C15" i="32"/>
  <c r="K15" i="32" s="1"/>
  <c r="N15" i="32" s="1"/>
  <c r="AX13" i="18"/>
  <c r="C18" i="32"/>
  <c r="K18" i="32" s="1"/>
  <c r="N18" i="32" s="1"/>
  <c r="C17" i="30"/>
  <c r="AX16" i="18"/>
  <c r="H16" i="30"/>
  <c r="L16" i="30" s="1"/>
  <c r="A1" i="15"/>
  <c r="A1" i="4"/>
  <c r="C16" i="33"/>
  <c r="A1" i="78"/>
  <c r="A1" i="29"/>
  <c r="C11" i="31"/>
  <c r="C12" i="33"/>
  <c r="C13" i="33"/>
  <c r="AU9" i="126"/>
  <c r="C20" i="33"/>
  <c r="A1" i="91"/>
  <c r="A1" i="48"/>
  <c r="AK12" i="2"/>
  <c r="AJ12" i="15" s="1"/>
  <c r="AK18" i="2"/>
  <c r="AJ18" i="15" s="1"/>
  <c r="AU10" i="126"/>
  <c r="F230" i="47" s="1"/>
  <c r="K7" i="2"/>
  <c r="I22" i="2"/>
  <c r="K15" i="2"/>
  <c r="C17" i="32" s="1"/>
  <c r="AT10" i="126"/>
  <c r="AU7" i="126"/>
  <c r="L13" i="2"/>
  <c r="E24" i="43"/>
  <c r="A1" i="123"/>
  <c r="A1" i="121"/>
  <c r="A1" i="127"/>
  <c r="U24" i="43"/>
  <c r="G10" i="126"/>
  <c r="S9" i="126"/>
  <c r="H10" i="126"/>
  <c r="T9" i="126"/>
  <c r="I10" i="126"/>
  <c r="J10" i="126"/>
  <c r="S7" i="126"/>
  <c r="C10" i="126"/>
  <c r="K10" i="126"/>
  <c r="D10" i="126"/>
  <c r="T7" i="126"/>
  <c r="L10" i="126"/>
  <c r="E10" i="126"/>
  <c r="S8" i="126"/>
  <c r="F10" i="126"/>
  <c r="T8" i="126"/>
  <c r="AU8" i="126"/>
  <c r="G8" i="31"/>
  <c r="G9" i="31"/>
  <c r="F21" i="48"/>
  <c r="F8" i="48"/>
  <c r="F7" i="48"/>
  <c r="G11" i="48"/>
  <c r="G20" i="31"/>
  <c r="F20" i="48"/>
  <c r="G13" i="48"/>
  <c r="E11" i="44"/>
  <c r="E17" i="44"/>
  <c r="F16" i="48"/>
  <c r="E12" i="44"/>
  <c r="G16" i="31"/>
  <c r="F18" i="31"/>
  <c r="F15" i="48"/>
  <c r="G17" i="48"/>
  <c r="F15" i="31"/>
  <c r="E13" i="44"/>
  <c r="F9" i="48"/>
  <c r="F32" i="78"/>
  <c r="C241" i="47" s="1"/>
  <c r="K14" i="58"/>
  <c r="O6" i="58"/>
  <c r="O12" i="58"/>
  <c r="G19" i="29"/>
  <c r="H19" i="29" s="1"/>
  <c r="I19" i="29" s="1"/>
  <c r="T16" i="58"/>
  <c r="L14" i="58"/>
  <c r="N10" i="58"/>
  <c r="O9" i="58"/>
  <c r="L10" i="58"/>
  <c r="R10" i="58"/>
  <c r="J17" i="58"/>
  <c r="J9" i="58"/>
  <c r="G21" i="31"/>
  <c r="H6" i="33"/>
  <c r="F14" i="31"/>
  <c r="E6" i="44"/>
  <c r="E10" i="44"/>
  <c r="F18" i="48"/>
  <c r="F14" i="48"/>
  <c r="G6" i="48"/>
  <c r="G14" i="48"/>
  <c r="G18" i="48"/>
  <c r="H14" i="33"/>
  <c r="G12" i="31"/>
  <c r="E21" i="44"/>
  <c r="E9" i="44"/>
  <c r="F17" i="48"/>
  <c r="F13" i="48"/>
  <c r="G7" i="48"/>
  <c r="G15" i="48"/>
  <c r="G19" i="48"/>
  <c r="H7" i="33"/>
  <c r="G13" i="31"/>
  <c r="G17" i="31"/>
  <c r="E20" i="44"/>
  <c r="E16" i="44"/>
  <c r="E8" i="44"/>
  <c r="F12" i="48"/>
  <c r="G8" i="48"/>
  <c r="G16" i="48"/>
  <c r="G20" i="48"/>
  <c r="G10" i="31"/>
  <c r="F19" i="48"/>
  <c r="G6" i="31"/>
  <c r="G14" i="31"/>
  <c r="G18" i="31"/>
  <c r="H18" i="31" s="1"/>
  <c r="E19" i="44"/>
  <c r="E15" i="44"/>
  <c r="E7" i="44"/>
  <c r="F11" i="48"/>
  <c r="G9" i="48"/>
  <c r="G21" i="48"/>
  <c r="G7" i="31"/>
  <c r="G15" i="31"/>
  <c r="G19" i="31"/>
  <c r="E18" i="44"/>
  <c r="F6" i="48"/>
  <c r="F10" i="48"/>
  <c r="F22" i="14"/>
  <c r="D22" i="14"/>
  <c r="V9" i="14"/>
  <c r="C9" i="64" s="1"/>
  <c r="E9" i="64" s="1"/>
  <c r="AT22" i="14"/>
  <c r="E22" i="14"/>
  <c r="T22" i="14"/>
  <c r="V10" i="14"/>
  <c r="C10" i="45" s="1"/>
  <c r="I14" i="29"/>
  <c r="H14" i="29"/>
  <c r="G11" i="29"/>
  <c r="F16" i="31"/>
  <c r="H13" i="33"/>
  <c r="F8" i="31"/>
  <c r="H19" i="33"/>
  <c r="F10" i="33"/>
  <c r="F11" i="33"/>
  <c r="F20" i="31"/>
  <c r="H17" i="33"/>
  <c r="H12" i="33"/>
  <c r="H11" i="33"/>
  <c r="H10" i="33"/>
  <c r="F12" i="33"/>
  <c r="H21" i="33"/>
  <c r="H9" i="33"/>
  <c r="H24" i="32"/>
  <c r="E24" i="32"/>
  <c r="S24" i="32"/>
  <c r="Q24" i="32"/>
  <c r="J24" i="32"/>
  <c r="P24" i="32"/>
  <c r="U24" i="32"/>
  <c r="F24" i="32"/>
  <c r="X24" i="32"/>
  <c r="M13" i="58"/>
  <c r="M21" i="58"/>
  <c r="C9" i="45"/>
  <c r="S22" i="14"/>
  <c r="M22" i="14"/>
  <c r="V12" i="14"/>
  <c r="V8" i="14"/>
  <c r="G9" i="64"/>
  <c r="I22" i="14"/>
  <c r="V16" i="14"/>
  <c r="V14" i="14"/>
  <c r="V15" i="14"/>
  <c r="L22" i="14"/>
  <c r="V21" i="14"/>
  <c r="V20" i="14"/>
  <c r="V19" i="14"/>
  <c r="V18" i="14"/>
  <c r="V17" i="14"/>
  <c r="C17" i="64" s="1"/>
  <c r="S6" i="58"/>
  <c r="I17" i="58"/>
  <c r="G14" i="29"/>
  <c r="R9" i="58"/>
  <c r="C20" i="29"/>
  <c r="E20" i="29" s="1"/>
  <c r="G20" i="29" s="1"/>
  <c r="Q10" i="58"/>
  <c r="T10" i="58"/>
  <c r="F10" i="44"/>
  <c r="K6" i="15"/>
  <c r="R17" i="58"/>
  <c r="P9" i="58"/>
  <c r="D10" i="45"/>
  <c r="E10" i="91"/>
  <c r="I10" i="58"/>
  <c r="C9" i="29"/>
  <c r="E9" i="29" s="1"/>
  <c r="N17" i="58"/>
  <c r="Q8" i="58"/>
  <c r="T9" i="58"/>
  <c r="D15" i="45"/>
  <c r="L9" i="58"/>
  <c r="O10" i="58"/>
  <c r="D9" i="45"/>
  <c r="D20" i="45"/>
  <c r="J10" i="58"/>
  <c r="C10" i="29"/>
  <c r="E10" i="29" s="1"/>
  <c r="G10" i="29" s="1"/>
  <c r="P7" i="58"/>
  <c r="L17" i="58"/>
  <c r="O17" i="58"/>
  <c r="Q9" i="58"/>
  <c r="F20" i="44"/>
  <c r="P10" i="58"/>
  <c r="N9" i="58"/>
  <c r="C15" i="29"/>
  <c r="E15" i="29" s="1"/>
  <c r="E9" i="91"/>
  <c r="P17" i="58"/>
  <c r="S19" i="58"/>
  <c r="K17" i="58"/>
  <c r="K9" i="58"/>
  <c r="S21" i="58"/>
  <c r="C22" i="15"/>
  <c r="E20" i="58"/>
  <c r="E15" i="58"/>
  <c r="P15" i="58" s="1"/>
  <c r="F9" i="44"/>
  <c r="E15" i="91"/>
  <c r="J24" i="43"/>
  <c r="W24" i="43"/>
  <c r="O24" i="43"/>
  <c r="R24" i="43"/>
  <c r="K24" i="43"/>
  <c r="P24" i="43"/>
  <c r="F24" i="43"/>
  <c r="S24" i="43"/>
  <c r="M24" i="43"/>
  <c r="Q24" i="43"/>
  <c r="I24" i="43"/>
  <c r="AV22" i="18"/>
  <c r="O22" i="4"/>
  <c r="E23" i="30"/>
  <c r="G19" i="30"/>
  <c r="J10" i="30"/>
  <c r="J23" i="30" s="1"/>
  <c r="AA22" i="5"/>
  <c r="C232" i="47" s="1"/>
  <c r="G17" i="30"/>
  <c r="D7" i="30"/>
  <c r="D23" i="30" s="1"/>
  <c r="L11" i="30"/>
  <c r="X22" i="6"/>
  <c r="E16" i="33"/>
  <c r="E7" i="33"/>
  <c r="E21" i="33"/>
  <c r="E11" i="31"/>
  <c r="E13" i="33"/>
  <c r="U23" i="7"/>
  <c r="E10" i="31"/>
  <c r="D21" i="44"/>
  <c r="U23" i="8"/>
  <c r="D12" i="44"/>
  <c r="D8" i="31"/>
  <c r="D9" i="33"/>
  <c r="H8" i="48"/>
  <c r="D13" i="31"/>
  <c r="H13" i="48"/>
  <c r="H9" i="48"/>
  <c r="D12" i="33"/>
  <c r="H16" i="48"/>
  <c r="H17" i="48"/>
  <c r="D16" i="44"/>
  <c r="H21" i="48"/>
  <c r="D21" i="31"/>
  <c r="H11" i="48"/>
  <c r="D17" i="31"/>
  <c r="D19" i="33"/>
  <c r="I24" i="32"/>
  <c r="G24" i="32"/>
  <c r="C227" i="47"/>
  <c r="D6" i="35"/>
  <c r="F231" i="47" s="1"/>
  <c r="E5" i="35"/>
  <c r="H9" i="31"/>
  <c r="H11" i="31"/>
  <c r="S31" i="127"/>
  <c r="C228" i="47" s="1"/>
  <c r="D16" i="48"/>
  <c r="I16" i="31"/>
  <c r="AY16" i="18"/>
  <c r="AY6" i="18"/>
  <c r="O8" i="32"/>
  <c r="W8" i="32" s="1"/>
  <c r="Z8" i="32" s="1"/>
  <c r="H7" i="30"/>
  <c r="L7" i="30" s="1"/>
  <c r="I6" i="31"/>
  <c r="C6" i="44"/>
  <c r="C7" i="30"/>
  <c r="M6" i="2"/>
  <c r="D6" i="48"/>
  <c r="C6" i="58"/>
  <c r="D6" i="58"/>
  <c r="O15" i="32"/>
  <c r="Y15" i="32" s="1"/>
  <c r="C13" i="44"/>
  <c r="AY13" i="18"/>
  <c r="D13" i="58"/>
  <c r="C13" i="58"/>
  <c r="M13" i="2"/>
  <c r="Y13" i="6" s="1"/>
  <c r="D13" i="48"/>
  <c r="I13" i="31"/>
  <c r="H8" i="30"/>
  <c r="L8" i="30" s="1"/>
  <c r="O9" i="32"/>
  <c r="Y9" i="32" s="1"/>
  <c r="AY7" i="18"/>
  <c r="H9" i="30"/>
  <c r="L9" i="30" s="1"/>
  <c r="AY8" i="18"/>
  <c r="C11" i="32"/>
  <c r="M11" i="32" s="1"/>
  <c r="C9" i="44"/>
  <c r="C10" i="30"/>
  <c r="G10" i="30" s="1"/>
  <c r="AX9" i="18"/>
  <c r="C9" i="32"/>
  <c r="M9" i="32" s="1"/>
  <c r="C12" i="32"/>
  <c r="K12" i="32" s="1"/>
  <c r="N12" i="32" s="1"/>
  <c r="C11" i="30"/>
  <c r="G11" i="30" s="1"/>
  <c r="AX10" i="18"/>
  <c r="I10" i="31"/>
  <c r="D10" i="48"/>
  <c r="C10" i="58"/>
  <c r="C12" i="31"/>
  <c r="AI22" i="2"/>
  <c r="A1" i="7"/>
  <c r="C8" i="33"/>
  <c r="A1" i="79"/>
  <c r="A1" i="45"/>
  <c r="A1" i="43"/>
  <c r="A1" i="46"/>
  <c r="C19" i="33"/>
  <c r="G19" i="33" s="1"/>
  <c r="D14" i="48"/>
  <c r="D12" i="58"/>
  <c r="D22" i="2"/>
  <c r="A1" i="33"/>
  <c r="A1" i="5"/>
  <c r="A1" i="35"/>
  <c r="K14" i="2"/>
  <c r="AK11" i="2"/>
  <c r="AJ11" i="15" s="1"/>
  <c r="AK21" i="2"/>
  <c r="AJ21" i="15" s="1"/>
  <c r="C21" i="33"/>
  <c r="G21" i="33" s="1"/>
  <c r="AY14" i="18"/>
  <c r="H10" i="30"/>
  <c r="C10" i="33"/>
  <c r="C15" i="31"/>
  <c r="A1" i="32"/>
  <c r="A1" i="6"/>
  <c r="A1" i="31"/>
  <c r="L15" i="30"/>
  <c r="L19" i="2"/>
  <c r="I19" i="31" s="1"/>
  <c r="C18" i="33"/>
  <c r="G18" i="33" s="1"/>
  <c r="I18" i="33" s="1"/>
  <c r="A1" i="126"/>
  <c r="L17" i="2"/>
  <c r="AY9" i="18"/>
  <c r="H22" i="2"/>
  <c r="A1" i="30"/>
  <c r="A1" i="8"/>
  <c r="A1" i="23"/>
  <c r="L11" i="2"/>
  <c r="D11" i="58" s="1"/>
  <c r="K21" i="2"/>
  <c r="K20" i="2"/>
  <c r="K19" i="2"/>
  <c r="D19" i="58" s="1"/>
  <c r="AY10" i="18"/>
  <c r="C12" i="58"/>
  <c r="C11" i="33"/>
  <c r="A1" i="77"/>
  <c r="A1" i="58"/>
  <c r="A1" i="20"/>
  <c r="C1" i="18"/>
  <c r="AA1" i="18" s="1"/>
  <c r="C17" i="33"/>
  <c r="G17" i="33" s="1"/>
  <c r="I12" i="31"/>
  <c r="H13" i="30"/>
  <c r="L13" i="30" s="1"/>
  <c r="AY12" i="18"/>
  <c r="A1" i="64"/>
  <c r="A1" i="14"/>
  <c r="B1" i="53"/>
  <c r="Y8" i="32"/>
  <c r="G12" i="29"/>
  <c r="H12" i="29"/>
  <c r="E22" i="2"/>
  <c r="C24" i="43"/>
  <c r="D24" i="43"/>
  <c r="N24" i="43"/>
  <c r="X24" i="43"/>
  <c r="L24" i="43"/>
  <c r="T24" i="43"/>
  <c r="K23" i="30"/>
  <c r="L10" i="32"/>
  <c r="AU22" i="18"/>
  <c r="T24" i="32"/>
  <c r="I18" i="29"/>
  <c r="G18" i="29"/>
  <c r="H18" i="29"/>
  <c r="G17" i="29"/>
  <c r="H17" i="29"/>
  <c r="I17" i="29"/>
  <c r="Q18" i="58"/>
  <c r="P18" i="58"/>
  <c r="I18" i="58"/>
  <c r="N18" i="58"/>
  <c r="O18" i="58"/>
  <c r="R18" i="58"/>
  <c r="L18" i="58"/>
  <c r="J18" i="58"/>
  <c r="H6" i="29"/>
  <c r="I6" i="29"/>
  <c r="G6" i="29"/>
  <c r="E16" i="35"/>
  <c r="D16" i="35"/>
  <c r="H13" i="29"/>
  <c r="G13" i="29"/>
  <c r="I13" i="29"/>
  <c r="K8" i="58"/>
  <c r="N16" i="58"/>
  <c r="G21" i="29"/>
  <c r="H21" i="29"/>
  <c r="T19" i="53"/>
  <c r="C226" i="47" s="1"/>
  <c r="T8" i="58"/>
  <c r="J8" i="58"/>
  <c r="P16" i="58"/>
  <c r="O18" i="32"/>
  <c r="M16" i="2"/>
  <c r="C16" i="58"/>
  <c r="H17" i="30"/>
  <c r="L17" i="30" s="1"/>
  <c r="C16" i="44"/>
  <c r="D16" i="58"/>
  <c r="G8" i="29"/>
  <c r="O8" i="58"/>
  <c r="J16" i="58"/>
  <c r="R16" i="58"/>
  <c r="C13" i="32"/>
  <c r="AX11" i="18"/>
  <c r="C12" i="30"/>
  <c r="G12" i="30" s="1"/>
  <c r="C16" i="30"/>
  <c r="G16" i="30" s="1"/>
  <c r="M15" i="2"/>
  <c r="AX15" i="18"/>
  <c r="Q7" i="58"/>
  <c r="L7" i="58"/>
  <c r="I7" i="58"/>
  <c r="K7" i="58"/>
  <c r="T7" i="58"/>
  <c r="R7" i="58"/>
  <c r="O7" i="58"/>
  <c r="N7" i="58"/>
  <c r="H8" i="29"/>
  <c r="P8" i="58"/>
  <c r="C31" i="46"/>
  <c r="N8" i="58"/>
  <c r="K8" i="15"/>
  <c r="D8" i="29"/>
  <c r="K13" i="15"/>
  <c r="D13" i="29"/>
  <c r="G22" i="14"/>
  <c r="AK13" i="2"/>
  <c r="AJ13" i="15" s="1"/>
  <c r="AJ22" i="2"/>
  <c r="AZ6" i="18"/>
  <c r="Y6" i="6"/>
  <c r="I9" i="31"/>
  <c r="C10" i="44"/>
  <c r="Q6" i="20"/>
  <c r="M15" i="32"/>
  <c r="C14" i="32"/>
  <c r="M12" i="2"/>
  <c r="C19" i="58"/>
  <c r="C21" i="32"/>
  <c r="L6" i="15"/>
  <c r="D9" i="58"/>
  <c r="P12" i="58"/>
  <c r="K22" i="14"/>
  <c r="F229" i="47"/>
  <c r="W6" i="14"/>
  <c r="M9" i="2"/>
  <c r="C13" i="30"/>
  <c r="G13" i="30" s="1"/>
  <c r="P22" i="4"/>
  <c r="C233" i="47" s="1"/>
  <c r="L11" i="32"/>
  <c r="Q22" i="14"/>
  <c r="C20" i="32"/>
  <c r="AC6" i="5"/>
  <c r="Q6" i="4"/>
  <c r="C9" i="58"/>
  <c r="M10" i="2"/>
  <c r="C8" i="32"/>
  <c r="J22" i="2"/>
  <c r="L21" i="2"/>
  <c r="D21" i="58" s="1"/>
  <c r="O10" i="32"/>
  <c r="D9" i="48"/>
  <c r="D10" i="58"/>
  <c r="AX6" i="18"/>
  <c r="AX12" i="18"/>
  <c r="O16" i="32"/>
  <c r="D14" i="58"/>
  <c r="D12" i="48"/>
  <c r="C6" i="31"/>
  <c r="C6" i="33"/>
  <c r="V11" i="14"/>
  <c r="V23" i="8"/>
  <c r="C229" i="47" s="1"/>
  <c r="D10" i="33"/>
  <c r="D10" i="31"/>
  <c r="K17" i="2"/>
  <c r="K18" i="15"/>
  <c r="D18" i="29"/>
  <c r="H18" i="30"/>
  <c r="L18" i="30" s="1"/>
  <c r="V24" i="43"/>
  <c r="Y11" i="32"/>
  <c r="W11" i="32"/>
  <c r="Z11" i="32" s="1"/>
  <c r="I14" i="58"/>
  <c r="U22" i="14"/>
  <c r="N22" i="14"/>
  <c r="F227" i="47"/>
  <c r="E6" i="79"/>
  <c r="Y14" i="32"/>
  <c r="W14" i="32"/>
  <c r="Z14" i="32" s="1"/>
  <c r="P14" i="58"/>
  <c r="AY15" i="18"/>
  <c r="R14" i="58"/>
  <c r="H14" i="30"/>
  <c r="L14" i="30" s="1"/>
  <c r="O22" i="14"/>
  <c r="V7" i="14"/>
  <c r="E20" i="33"/>
  <c r="H20" i="30"/>
  <c r="L20" i="30" s="1"/>
  <c r="K8" i="2"/>
  <c r="C14" i="33"/>
  <c r="G14" i="33" s="1"/>
  <c r="K12" i="15"/>
  <c r="K14" i="15"/>
  <c r="D14" i="29"/>
  <c r="C22" i="14"/>
  <c r="J22" i="14"/>
  <c r="D16" i="31"/>
  <c r="O22" i="32"/>
  <c r="H21" i="30"/>
  <c r="L21" i="30" s="1"/>
  <c r="L18" i="2"/>
  <c r="D17" i="29"/>
  <c r="K17" i="15"/>
  <c r="G22" i="2"/>
  <c r="V6" i="14"/>
  <c r="V13" i="14"/>
  <c r="H22" i="14"/>
  <c r="C16" i="32"/>
  <c r="C15" i="30"/>
  <c r="G15" i="30" s="1"/>
  <c r="R22" i="14"/>
  <c r="D13" i="33"/>
  <c r="C23" i="32"/>
  <c r="C22" i="32"/>
  <c r="D20" i="58"/>
  <c r="K11" i="15"/>
  <c r="K16" i="15"/>
  <c r="K21" i="15"/>
  <c r="C19" i="31"/>
  <c r="F246" i="47"/>
  <c r="K7" i="15"/>
  <c r="K9" i="15"/>
  <c r="K10" i="15"/>
  <c r="K15" i="15"/>
  <c r="F7" i="30"/>
  <c r="D6" i="33"/>
  <c r="K19" i="15"/>
  <c r="D17" i="44"/>
  <c r="F226" i="47"/>
  <c r="AY24" i="43"/>
  <c r="C21" i="31"/>
  <c r="K20" i="15"/>
  <c r="A1" i="124"/>
  <c r="A1" i="125"/>
  <c r="W17" i="32" l="1"/>
  <c r="Z17" i="32" s="1"/>
  <c r="Y17" i="32"/>
  <c r="D15" i="35"/>
  <c r="E15" i="35"/>
  <c r="B13" i="35"/>
  <c r="C225" i="47"/>
  <c r="D15" i="58"/>
  <c r="C11" i="44"/>
  <c r="I11" i="31"/>
  <c r="H17" i="31"/>
  <c r="M19" i="58"/>
  <c r="C13" i="79"/>
  <c r="E13" i="79" s="1"/>
  <c r="K6" i="79"/>
  <c r="K13" i="79" s="1"/>
  <c r="F240" i="47" s="1"/>
  <c r="W14" i="7"/>
  <c r="G15" i="33"/>
  <c r="I15" i="33" s="1"/>
  <c r="C7" i="44"/>
  <c r="G7" i="44" s="1"/>
  <c r="C234" i="47"/>
  <c r="C231" i="47"/>
  <c r="G6" i="33"/>
  <c r="I15" i="58"/>
  <c r="L16" i="58"/>
  <c r="I20" i="29"/>
  <c r="I16" i="29"/>
  <c r="H16" i="29"/>
  <c r="O16" i="58"/>
  <c r="I16" i="58"/>
  <c r="Q16" i="58"/>
  <c r="S16" i="58" s="1"/>
  <c r="O15" i="58"/>
  <c r="G7" i="33"/>
  <c r="K9" i="32"/>
  <c r="N9" i="32" s="1"/>
  <c r="W12" i="32"/>
  <c r="Z12" i="32" s="1"/>
  <c r="H7" i="31"/>
  <c r="H8" i="31"/>
  <c r="C10" i="64"/>
  <c r="H10" i="64" s="1"/>
  <c r="K22" i="15"/>
  <c r="C236" i="47" s="1"/>
  <c r="R12" i="58"/>
  <c r="Q12" i="58"/>
  <c r="T12" i="58"/>
  <c r="I12" i="58"/>
  <c r="N12" i="58"/>
  <c r="K12" i="58"/>
  <c r="J12" i="58"/>
  <c r="L12" i="58"/>
  <c r="H11" i="29"/>
  <c r="I11" i="29"/>
  <c r="C230" i="47"/>
  <c r="H14" i="31"/>
  <c r="H16" i="31"/>
  <c r="J16" i="31" s="1"/>
  <c r="H20" i="31"/>
  <c r="E10" i="45"/>
  <c r="AW16" i="18"/>
  <c r="AW10" i="18"/>
  <c r="AW9" i="18"/>
  <c r="AW12" i="18"/>
  <c r="K11" i="32"/>
  <c r="N11" i="32" s="1"/>
  <c r="C8" i="30"/>
  <c r="G8" i="30" s="1"/>
  <c r="G12" i="33"/>
  <c r="I12" i="33" s="1"/>
  <c r="C15" i="44"/>
  <c r="D11" i="48"/>
  <c r="D7" i="48"/>
  <c r="I7" i="31"/>
  <c r="M18" i="32"/>
  <c r="M7" i="2"/>
  <c r="C11" i="58"/>
  <c r="C15" i="58"/>
  <c r="M11" i="2"/>
  <c r="D7" i="58"/>
  <c r="I15" i="31"/>
  <c r="AX7" i="18"/>
  <c r="AW7" i="18" s="1"/>
  <c r="C7" i="58"/>
  <c r="AW13" i="18"/>
  <c r="I6" i="33"/>
  <c r="G13" i="33"/>
  <c r="I13" i="33" s="1"/>
  <c r="D15" i="48"/>
  <c r="C14" i="77"/>
  <c r="D14" i="77" s="1"/>
  <c r="C13" i="77"/>
  <c r="D13" i="77" s="1"/>
  <c r="C20" i="77"/>
  <c r="D20" i="77" s="1"/>
  <c r="F243" i="47" s="1"/>
  <c r="G16" i="123"/>
  <c r="G15" i="123"/>
  <c r="F34" i="123"/>
  <c r="F24" i="123"/>
  <c r="F32" i="123"/>
  <c r="F25" i="123"/>
  <c r="F26" i="123"/>
  <c r="F30" i="123"/>
  <c r="F28" i="123"/>
  <c r="F29" i="123"/>
  <c r="F33" i="123"/>
  <c r="F31" i="123"/>
  <c r="F27" i="123"/>
  <c r="F23" i="123"/>
  <c r="D18" i="123"/>
  <c r="D21" i="123"/>
  <c r="D19" i="123"/>
  <c r="D22" i="123"/>
  <c r="D20" i="123"/>
  <c r="D17" i="123"/>
  <c r="E22" i="123"/>
  <c r="E21" i="123"/>
  <c r="E18" i="123"/>
  <c r="E17" i="123"/>
  <c r="E19" i="123"/>
  <c r="E20" i="123"/>
  <c r="C18" i="91"/>
  <c r="D18" i="91" s="1"/>
  <c r="H18" i="91" s="1"/>
  <c r="I18" i="91" s="1"/>
  <c r="T10" i="126"/>
  <c r="S10" i="126"/>
  <c r="G13" i="44"/>
  <c r="G11" i="33"/>
  <c r="I11" i="33" s="1"/>
  <c r="I14" i="33"/>
  <c r="H19" i="31"/>
  <c r="J19" i="31" s="1"/>
  <c r="G6" i="44"/>
  <c r="G16" i="44"/>
  <c r="E9" i="45"/>
  <c r="S10" i="58"/>
  <c r="M10" i="58"/>
  <c r="M9" i="58"/>
  <c r="M14" i="58"/>
  <c r="M8" i="58"/>
  <c r="I17" i="33"/>
  <c r="G10" i="44"/>
  <c r="I7" i="33"/>
  <c r="C17" i="45"/>
  <c r="E17" i="45" s="1"/>
  <c r="G9" i="44"/>
  <c r="G9" i="33"/>
  <c r="I9" i="33" s="1"/>
  <c r="G8" i="33"/>
  <c r="I8" i="33" s="1"/>
  <c r="M12" i="32"/>
  <c r="L10" i="30"/>
  <c r="H21" i="31"/>
  <c r="H15" i="31"/>
  <c r="H12" i="31"/>
  <c r="J12" i="31" s="1"/>
  <c r="J15" i="58"/>
  <c r="S8" i="58"/>
  <c r="Q15" i="58"/>
  <c r="M17" i="58"/>
  <c r="M7" i="58"/>
  <c r="C21" i="64"/>
  <c r="C21" i="45"/>
  <c r="E21" i="45" s="1"/>
  <c r="C15" i="45"/>
  <c r="E15" i="45" s="1"/>
  <c r="C15" i="64"/>
  <c r="C12" i="45"/>
  <c r="E12" i="45" s="1"/>
  <c r="C12" i="64"/>
  <c r="C14" i="64"/>
  <c r="C14" i="45"/>
  <c r="E14" i="45" s="1"/>
  <c r="C18" i="45"/>
  <c r="E18" i="45" s="1"/>
  <c r="C18" i="64"/>
  <c r="C16" i="45"/>
  <c r="E16" i="45" s="1"/>
  <c r="C16" i="64"/>
  <c r="C19" i="45"/>
  <c r="E19" i="45" s="1"/>
  <c r="C19" i="64"/>
  <c r="C20" i="45"/>
  <c r="E20" i="45" s="1"/>
  <c r="C20" i="64"/>
  <c r="C8" i="64"/>
  <c r="C8" i="45"/>
  <c r="E8" i="45" s="1"/>
  <c r="I9" i="64"/>
  <c r="H9" i="64"/>
  <c r="F9" i="64"/>
  <c r="K15" i="58"/>
  <c r="O20" i="58"/>
  <c r="P20" i="58"/>
  <c r="K20" i="58"/>
  <c r="N20" i="58"/>
  <c r="Q20" i="58"/>
  <c r="I20" i="58"/>
  <c r="L20" i="58"/>
  <c r="T20" i="58"/>
  <c r="R20" i="58"/>
  <c r="J20" i="58"/>
  <c r="L15" i="58"/>
  <c r="H10" i="29"/>
  <c r="I10" i="29"/>
  <c r="S14" i="58"/>
  <c r="N15" i="58"/>
  <c r="G15" i="29"/>
  <c r="I15" i="29"/>
  <c r="H15" i="29"/>
  <c r="S9" i="58"/>
  <c r="H9" i="29"/>
  <c r="G9" i="29"/>
  <c r="I9" i="29"/>
  <c r="H20" i="29"/>
  <c r="T15" i="58"/>
  <c r="S17" i="58"/>
  <c r="R15" i="58"/>
  <c r="S7" i="58"/>
  <c r="L24" i="32"/>
  <c r="E22" i="33"/>
  <c r="G16" i="33"/>
  <c r="I16" i="33" s="1"/>
  <c r="H13" i="31"/>
  <c r="J13" i="31" s="1"/>
  <c r="G12" i="44"/>
  <c r="I19" i="33"/>
  <c r="G15" i="44"/>
  <c r="J11" i="31"/>
  <c r="G22" i="31"/>
  <c r="J9" i="31"/>
  <c r="F22" i="33"/>
  <c r="F11" i="58"/>
  <c r="H11" i="58"/>
  <c r="G11" i="58"/>
  <c r="L22" i="2"/>
  <c r="G12" i="58"/>
  <c r="F12" i="58"/>
  <c r="H12" i="58"/>
  <c r="O21" i="32"/>
  <c r="AY19" i="18"/>
  <c r="H6" i="58"/>
  <c r="G6" i="58"/>
  <c r="F6" i="58"/>
  <c r="W9" i="32"/>
  <c r="Z9" i="32" s="1"/>
  <c r="D19" i="48"/>
  <c r="M19" i="2"/>
  <c r="C19" i="44"/>
  <c r="G19" i="44" s="1"/>
  <c r="AX19" i="18"/>
  <c r="C20" i="30"/>
  <c r="G20" i="30" s="1"/>
  <c r="AX14" i="18"/>
  <c r="AW14" i="18" s="1"/>
  <c r="C14" i="58"/>
  <c r="I14" i="31"/>
  <c r="J14" i="31" s="1"/>
  <c r="M14" i="2"/>
  <c r="C14" i="44"/>
  <c r="G14" i="44" s="1"/>
  <c r="W15" i="32"/>
  <c r="Z15" i="32" s="1"/>
  <c r="C20" i="44"/>
  <c r="G20" i="44" s="1"/>
  <c r="D20" i="48"/>
  <c r="AX20" i="18"/>
  <c r="AW20" i="18" s="1"/>
  <c r="M20" i="2"/>
  <c r="C21" i="30"/>
  <c r="G21" i="30" s="1"/>
  <c r="I20" i="31"/>
  <c r="J20" i="31" s="1"/>
  <c r="C20" i="58"/>
  <c r="AC7" i="5"/>
  <c r="AZ7" i="18"/>
  <c r="W7" i="14"/>
  <c r="L7" i="15"/>
  <c r="Q7" i="20"/>
  <c r="AA9" i="43"/>
  <c r="W8" i="7"/>
  <c r="AC13" i="5"/>
  <c r="L13" i="15"/>
  <c r="W13" i="14"/>
  <c r="AA15" i="43"/>
  <c r="Q13" i="4"/>
  <c r="Q13" i="20"/>
  <c r="AZ13" i="18"/>
  <c r="G10" i="33"/>
  <c r="I10" i="33" s="1"/>
  <c r="C22" i="30"/>
  <c r="G22" i="30" s="1"/>
  <c r="AX21" i="18"/>
  <c r="W7" i="7"/>
  <c r="AA8" i="43"/>
  <c r="O13" i="32"/>
  <c r="AY11" i="18"/>
  <c r="AW11" i="18" s="1"/>
  <c r="H12" i="30"/>
  <c r="L12" i="30" s="1"/>
  <c r="O19" i="32"/>
  <c r="AY17" i="18"/>
  <c r="G7" i="58"/>
  <c r="H7" i="58"/>
  <c r="F7" i="58"/>
  <c r="H13" i="58"/>
  <c r="G13" i="58"/>
  <c r="F13" i="58"/>
  <c r="C12" i="48"/>
  <c r="C12" i="91"/>
  <c r="D12" i="91" s="1"/>
  <c r="H12" i="91" s="1"/>
  <c r="Q15" i="4"/>
  <c r="Y15" i="6"/>
  <c r="L15" i="15"/>
  <c r="AZ15" i="18"/>
  <c r="AC15" i="5"/>
  <c r="Q15" i="20"/>
  <c r="AA17" i="43"/>
  <c r="W15" i="14"/>
  <c r="W16" i="7"/>
  <c r="C15" i="91"/>
  <c r="D15" i="91" s="1"/>
  <c r="H15" i="91" s="1"/>
  <c r="C15" i="48"/>
  <c r="C9" i="48"/>
  <c r="C9" i="91"/>
  <c r="D9" i="91" s="1"/>
  <c r="H9" i="91" s="1"/>
  <c r="G14" i="58"/>
  <c r="H14" i="58"/>
  <c r="F14" i="58"/>
  <c r="O23" i="32"/>
  <c r="H22" i="30"/>
  <c r="L22" i="30" s="1"/>
  <c r="M21" i="2"/>
  <c r="C21" i="44"/>
  <c r="G21" i="44" s="1"/>
  <c r="AY21" i="18"/>
  <c r="I21" i="31"/>
  <c r="D21" i="48"/>
  <c r="G20" i="33"/>
  <c r="I20" i="33" s="1"/>
  <c r="Z24" i="43"/>
  <c r="F20" i="58"/>
  <c r="G20" i="58"/>
  <c r="H20" i="58"/>
  <c r="I21" i="33"/>
  <c r="O20" i="32"/>
  <c r="H19" i="30"/>
  <c r="L19" i="30" s="1"/>
  <c r="AY18" i="18"/>
  <c r="AW18" i="18" s="1"/>
  <c r="D18" i="48"/>
  <c r="C18" i="44"/>
  <c r="G18" i="44" s="1"/>
  <c r="I18" i="31"/>
  <c r="J18" i="31" s="1"/>
  <c r="M18" i="2"/>
  <c r="Y16" i="32"/>
  <c r="W16" i="32"/>
  <c r="Z16" i="32" s="1"/>
  <c r="Y12" i="6"/>
  <c r="Q12" i="20"/>
  <c r="AC12" i="5"/>
  <c r="Q12" i="4"/>
  <c r="L12" i="15"/>
  <c r="W12" i="14"/>
  <c r="AZ12" i="18"/>
  <c r="W13" i="7"/>
  <c r="AA14" i="43"/>
  <c r="F15" i="58"/>
  <c r="G15" i="58"/>
  <c r="H15" i="58"/>
  <c r="H17" i="64"/>
  <c r="E17" i="64"/>
  <c r="F17" i="64"/>
  <c r="I17" i="64"/>
  <c r="C19" i="91"/>
  <c r="D19" i="91" s="1"/>
  <c r="H19" i="91" s="1"/>
  <c r="C19" i="48"/>
  <c r="C8" i="91"/>
  <c r="D8" i="91" s="1"/>
  <c r="H8" i="91" s="1"/>
  <c r="C8" i="48"/>
  <c r="K22" i="32"/>
  <c r="N22" i="32" s="1"/>
  <c r="M22" i="32"/>
  <c r="C7" i="64"/>
  <c r="C7" i="45"/>
  <c r="E7" i="45" s="1"/>
  <c r="K21" i="32"/>
  <c r="N21" i="32" s="1"/>
  <c r="M21" i="32"/>
  <c r="K14" i="32"/>
  <c r="N14" i="32" s="1"/>
  <c r="M14" i="32"/>
  <c r="AZ11" i="18"/>
  <c r="W11" i="14"/>
  <c r="Q11" i="4"/>
  <c r="Q11" i="20"/>
  <c r="L11" i="15"/>
  <c r="AA13" i="43"/>
  <c r="AC11" i="5"/>
  <c r="Y11" i="6"/>
  <c r="W12" i="7"/>
  <c r="W17" i="7"/>
  <c r="AA18" i="43"/>
  <c r="W16" i="14"/>
  <c r="Q16" i="4"/>
  <c r="AZ16" i="18"/>
  <c r="AC16" i="5"/>
  <c r="L16" i="15"/>
  <c r="Q16" i="20"/>
  <c r="Y16" i="6"/>
  <c r="C14" i="48"/>
  <c r="C14" i="91"/>
  <c r="D14" i="91" s="1"/>
  <c r="H14" i="91" s="1"/>
  <c r="C20" i="48"/>
  <c r="C20" i="91"/>
  <c r="D20" i="91" s="1"/>
  <c r="H20" i="91" s="1"/>
  <c r="C7" i="48"/>
  <c r="C7" i="91"/>
  <c r="D7" i="91" s="1"/>
  <c r="H7" i="91" s="1"/>
  <c r="K23" i="32"/>
  <c r="N23" i="32" s="1"/>
  <c r="M23" i="32"/>
  <c r="Y22" i="32"/>
  <c r="W22" i="32"/>
  <c r="Z22" i="32" s="1"/>
  <c r="F239" i="47"/>
  <c r="H10" i="31"/>
  <c r="J10" i="31" s="1"/>
  <c r="D22" i="31"/>
  <c r="AW6" i="18"/>
  <c r="M8" i="32"/>
  <c r="K8" i="32"/>
  <c r="N8" i="32" s="1"/>
  <c r="C18" i="58"/>
  <c r="F19" i="58"/>
  <c r="H19" i="58"/>
  <c r="G19" i="58"/>
  <c r="M18" i="58"/>
  <c r="C19" i="32"/>
  <c r="C17" i="44"/>
  <c r="G17" i="44" s="1"/>
  <c r="C18" i="30"/>
  <c r="G18" i="30" s="1"/>
  <c r="AX17" i="18"/>
  <c r="C17" i="58"/>
  <c r="I17" i="31"/>
  <c r="J17" i="31" s="1"/>
  <c r="M17" i="2"/>
  <c r="D17" i="58"/>
  <c r="D17" i="48"/>
  <c r="F21" i="58"/>
  <c r="G21" i="58"/>
  <c r="H21" i="58"/>
  <c r="C13" i="64"/>
  <c r="C13" i="45"/>
  <c r="E13" i="45" s="1"/>
  <c r="C22" i="33"/>
  <c r="H10" i="58"/>
  <c r="G10" i="58"/>
  <c r="F10" i="58"/>
  <c r="Q10" i="20"/>
  <c r="AZ10" i="18"/>
  <c r="L10" i="15"/>
  <c r="Y10" i="6"/>
  <c r="W10" i="14"/>
  <c r="AC10" i="5"/>
  <c r="W11" i="7"/>
  <c r="AA12" i="43"/>
  <c r="Q10" i="4"/>
  <c r="K20" i="32"/>
  <c r="N20" i="32" s="1"/>
  <c r="M20" i="32"/>
  <c r="L9" i="15"/>
  <c r="W10" i="7"/>
  <c r="Q9" i="4"/>
  <c r="W9" i="14"/>
  <c r="Y9" i="6"/>
  <c r="Q9" i="20"/>
  <c r="AC9" i="5"/>
  <c r="AA11" i="43"/>
  <c r="AZ9" i="18"/>
  <c r="E22" i="31"/>
  <c r="C238" i="47"/>
  <c r="K17" i="32"/>
  <c r="N17" i="32" s="1"/>
  <c r="M17" i="32"/>
  <c r="K13" i="32"/>
  <c r="N13" i="32" s="1"/>
  <c r="M13" i="32"/>
  <c r="Y18" i="32"/>
  <c r="W18" i="32"/>
  <c r="Z18" i="32" s="1"/>
  <c r="S18" i="58"/>
  <c r="C11" i="48"/>
  <c r="C11" i="91"/>
  <c r="D11" i="91" s="1"/>
  <c r="H11" i="91" s="1"/>
  <c r="D22" i="33"/>
  <c r="C21" i="58"/>
  <c r="C6" i="45"/>
  <c r="E6" i="45" s="1"/>
  <c r="V22" i="14"/>
  <c r="C6" i="64"/>
  <c r="C18" i="48"/>
  <c r="C22" i="31"/>
  <c r="H6" i="31"/>
  <c r="D18" i="58"/>
  <c r="G9" i="58"/>
  <c r="H9" i="58"/>
  <c r="F9" i="58"/>
  <c r="C16" i="91"/>
  <c r="D16" i="91" s="1"/>
  <c r="H16" i="91" s="1"/>
  <c r="C16" i="48"/>
  <c r="AW15" i="18"/>
  <c r="G11" i="44"/>
  <c r="C10" i="91"/>
  <c r="D10" i="91" s="1"/>
  <c r="H10" i="91" s="1"/>
  <c r="C10" i="48"/>
  <c r="C17" i="48"/>
  <c r="C17" i="91"/>
  <c r="D17" i="91" s="1"/>
  <c r="H17" i="91" s="1"/>
  <c r="Y24" i="43"/>
  <c r="C6" i="91"/>
  <c r="D6" i="91" s="1"/>
  <c r="H6" i="91" s="1"/>
  <c r="C6" i="48"/>
  <c r="G7" i="30"/>
  <c r="F23" i="30"/>
  <c r="C21" i="48"/>
  <c r="C21" i="91"/>
  <c r="D21" i="91" s="1"/>
  <c r="H21" i="91" s="1"/>
  <c r="C13" i="91"/>
  <c r="D13" i="91" s="1"/>
  <c r="H13" i="91" s="1"/>
  <c r="C13" i="48"/>
  <c r="K16" i="32"/>
  <c r="N16" i="32" s="1"/>
  <c r="M16" i="32"/>
  <c r="D8" i="58"/>
  <c r="D8" i="48"/>
  <c r="C8" i="58"/>
  <c r="I8" i="31"/>
  <c r="C8" i="44"/>
  <c r="G8" i="44" s="1"/>
  <c r="AX8" i="18"/>
  <c r="AW8" i="18" s="1"/>
  <c r="K22" i="2"/>
  <c r="C223" i="47" s="1"/>
  <c r="M8" i="2"/>
  <c r="C9" i="30"/>
  <c r="C10" i="32"/>
  <c r="C11" i="45"/>
  <c r="E11" i="45" s="1"/>
  <c r="C11" i="64"/>
  <c r="Y10" i="32"/>
  <c r="W10" i="32"/>
  <c r="Z10" i="32" s="1"/>
  <c r="F22" i="31"/>
  <c r="G16" i="58"/>
  <c r="F16" i="58"/>
  <c r="H16" i="58"/>
  <c r="H22" i="33"/>
  <c r="B4" i="78" l="1"/>
  <c r="F242" i="47"/>
  <c r="D13" i="35"/>
  <c r="F241" i="47" s="1"/>
  <c r="E13" i="35"/>
  <c r="M16" i="58"/>
  <c r="G35" i="123"/>
  <c r="E10" i="64"/>
  <c r="J7" i="31"/>
  <c r="F10" i="64"/>
  <c r="I10" i="64"/>
  <c r="S12" i="58"/>
  <c r="M12" i="58"/>
  <c r="AW17" i="18"/>
  <c r="J15" i="31"/>
  <c r="E35" i="123"/>
  <c r="Y7" i="6"/>
  <c r="Q7" i="4"/>
  <c r="J21" i="31"/>
  <c r="F35" i="123"/>
  <c r="D35" i="123"/>
  <c r="S15" i="58"/>
  <c r="C235" i="47"/>
  <c r="G18" i="91"/>
  <c r="C224" i="47"/>
  <c r="F245" i="47"/>
  <c r="M15" i="58"/>
  <c r="J17" i="64"/>
  <c r="J9" i="64"/>
  <c r="H12" i="64"/>
  <c r="I12" i="64"/>
  <c r="F12" i="64"/>
  <c r="E12" i="64"/>
  <c r="E16" i="64"/>
  <c r="I16" i="64"/>
  <c r="H16" i="64"/>
  <c r="F16" i="64"/>
  <c r="I20" i="64"/>
  <c r="H20" i="64"/>
  <c r="E20" i="64"/>
  <c r="F20" i="64"/>
  <c r="F15" i="64"/>
  <c r="H15" i="64"/>
  <c r="I15" i="64"/>
  <c r="E15" i="64"/>
  <c r="H18" i="64"/>
  <c r="E18" i="64"/>
  <c r="F18" i="64"/>
  <c r="I18" i="64"/>
  <c r="S20" i="58"/>
  <c r="I21" i="64"/>
  <c r="H21" i="64"/>
  <c r="F21" i="64"/>
  <c r="E21" i="64"/>
  <c r="H8" i="64"/>
  <c r="I8" i="64"/>
  <c r="F8" i="64"/>
  <c r="E8" i="64"/>
  <c r="H14" i="64"/>
  <c r="E14" i="64"/>
  <c r="I14" i="64"/>
  <c r="F14" i="64"/>
  <c r="E19" i="64"/>
  <c r="F19" i="64"/>
  <c r="H19" i="64"/>
  <c r="I19" i="64" s="1"/>
  <c r="F232" i="47"/>
  <c r="M20" i="58"/>
  <c r="AW21" i="18"/>
  <c r="AZ14" i="18"/>
  <c r="Q14" i="20"/>
  <c r="L14" i="15"/>
  <c r="W15" i="7"/>
  <c r="AC14" i="5"/>
  <c r="Y14" i="6"/>
  <c r="W14" i="14"/>
  <c r="Q14" i="4"/>
  <c r="AA16" i="43"/>
  <c r="Y21" i="32"/>
  <c r="W21" i="32"/>
  <c r="Z21" i="32" s="1"/>
  <c r="Y13" i="32"/>
  <c r="W13" i="32"/>
  <c r="Z13" i="32" s="1"/>
  <c r="AA22" i="43"/>
  <c r="W21" i="7"/>
  <c r="L20" i="15"/>
  <c r="Q20" i="4"/>
  <c r="Q20" i="20"/>
  <c r="AZ20" i="18"/>
  <c r="W20" i="14"/>
  <c r="Y20" i="6"/>
  <c r="AC20" i="5"/>
  <c r="AW19" i="18"/>
  <c r="Y19" i="32"/>
  <c r="W19" i="32"/>
  <c r="Z19" i="32" s="1"/>
  <c r="H23" i="30"/>
  <c r="L23" i="30" s="1"/>
  <c r="AX22" i="18"/>
  <c r="AZ19" i="18"/>
  <c r="AC19" i="5"/>
  <c r="Q19" i="4"/>
  <c r="Q19" i="20"/>
  <c r="Y19" i="6"/>
  <c r="W19" i="14"/>
  <c r="W20" i="7"/>
  <c r="AA21" i="43"/>
  <c r="L19" i="15"/>
  <c r="G21" i="91"/>
  <c r="I21" i="91"/>
  <c r="J21" i="48"/>
  <c r="K21" i="48"/>
  <c r="J15" i="48"/>
  <c r="K15" i="48"/>
  <c r="J17" i="48"/>
  <c r="K17" i="48"/>
  <c r="H22" i="31"/>
  <c r="J6" i="31"/>
  <c r="K18" i="48"/>
  <c r="J18" i="48"/>
  <c r="I11" i="91"/>
  <c r="G11" i="91"/>
  <c r="F225" i="47"/>
  <c r="G22" i="33"/>
  <c r="I22" i="33" s="1"/>
  <c r="F13" i="64"/>
  <c r="H13" i="64"/>
  <c r="I13" i="64"/>
  <c r="E13" i="64"/>
  <c r="Y17" i="6"/>
  <c r="AZ17" i="18"/>
  <c r="AA19" i="43"/>
  <c r="L17" i="15"/>
  <c r="W17" i="14"/>
  <c r="Q17" i="20"/>
  <c r="AC17" i="5"/>
  <c r="Q17" i="4"/>
  <c r="W18" i="7"/>
  <c r="J20" i="48"/>
  <c r="K20" i="48"/>
  <c r="K14" i="48"/>
  <c r="J14" i="48"/>
  <c r="G19" i="91"/>
  <c r="I19" i="91"/>
  <c r="G15" i="91"/>
  <c r="I15" i="91"/>
  <c r="M10" i="32"/>
  <c r="K10" i="32"/>
  <c r="N10" i="32" s="1"/>
  <c r="G9" i="30"/>
  <c r="C23" i="30"/>
  <c r="G23" i="30" s="1"/>
  <c r="Q8" i="20"/>
  <c r="Q8" i="4"/>
  <c r="W9" i="7"/>
  <c r="Y8" i="6"/>
  <c r="AC8" i="5"/>
  <c r="AZ8" i="18"/>
  <c r="AA10" i="43"/>
  <c r="L8" i="15"/>
  <c r="W8" i="14"/>
  <c r="C7" i="77"/>
  <c r="D7" i="77" s="1"/>
  <c r="C6" i="77"/>
  <c r="D6" i="77" s="1"/>
  <c r="C5" i="77"/>
  <c r="D5" i="77" s="1"/>
  <c r="J10" i="48"/>
  <c r="K10" i="48"/>
  <c r="K16" i="48"/>
  <c r="J16" i="48"/>
  <c r="E6" i="64"/>
  <c r="H6" i="64"/>
  <c r="I6" i="64"/>
  <c r="F6" i="64"/>
  <c r="K11" i="48"/>
  <c r="J11" i="48"/>
  <c r="Q21" i="4"/>
  <c r="W21" i="14"/>
  <c r="Y21" i="6"/>
  <c r="Q21" i="20"/>
  <c r="AA23" i="43"/>
  <c r="AC21" i="5"/>
  <c r="W22" i="7"/>
  <c r="L21" i="15"/>
  <c r="AZ21" i="18"/>
  <c r="O24" i="32"/>
  <c r="J7" i="48"/>
  <c r="K7" i="48"/>
  <c r="G17" i="91"/>
  <c r="I17" i="91"/>
  <c r="I14" i="91"/>
  <c r="G14" i="91"/>
  <c r="I11" i="64"/>
  <c r="E11" i="64"/>
  <c r="H11" i="64"/>
  <c r="F11" i="64"/>
  <c r="G10" i="91"/>
  <c r="I10" i="91"/>
  <c r="I16" i="91"/>
  <c r="G16" i="91"/>
  <c r="B5" i="78"/>
  <c r="B28" i="78" s="1"/>
  <c r="B31" i="78" s="1"/>
  <c r="A2" i="78" s="1"/>
  <c r="C237" i="47"/>
  <c r="I9" i="91"/>
  <c r="G9" i="91"/>
  <c r="AY22" i="18"/>
  <c r="J19" i="48"/>
  <c r="K19" i="48"/>
  <c r="F235" i="47"/>
  <c r="F236" i="47"/>
  <c r="J8" i="48"/>
  <c r="K8" i="48"/>
  <c r="Y20" i="32"/>
  <c r="W20" i="32"/>
  <c r="Z20" i="32" s="1"/>
  <c r="Y23" i="32"/>
  <c r="W23" i="32"/>
  <c r="Z23" i="32" s="1"/>
  <c r="K9" i="48"/>
  <c r="J9" i="48"/>
  <c r="F18" i="58"/>
  <c r="H18" i="58"/>
  <c r="G18" i="58"/>
  <c r="K19" i="32"/>
  <c r="N19" i="32" s="1"/>
  <c r="M19" i="32"/>
  <c r="F7" i="64"/>
  <c r="H7" i="64"/>
  <c r="I7" i="64"/>
  <c r="E7" i="64"/>
  <c r="I22" i="31"/>
  <c r="J8" i="31"/>
  <c r="J13" i="48"/>
  <c r="K13" i="48"/>
  <c r="K6" i="48"/>
  <c r="J6" i="48"/>
  <c r="I8" i="91"/>
  <c r="G8" i="91"/>
  <c r="B4" i="46"/>
  <c r="J12" i="48"/>
  <c r="K12" i="48"/>
  <c r="H8" i="58"/>
  <c r="G8" i="58"/>
  <c r="F8" i="58"/>
  <c r="G17" i="58"/>
  <c r="F17" i="58"/>
  <c r="H17" i="58"/>
  <c r="G20" i="91"/>
  <c r="I20" i="91"/>
  <c r="I13" i="91"/>
  <c r="G13" i="91"/>
  <c r="I6" i="91"/>
  <c r="G6" i="91"/>
  <c r="C24" i="32"/>
  <c r="I7" i="91"/>
  <c r="G7" i="91"/>
  <c r="W18" i="14"/>
  <c r="W19" i="7"/>
  <c r="AC18" i="5"/>
  <c r="Q18" i="4"/>
  <c r="Y18" i="6"/>
  <c r="L18" i="15"/>
  <c r="AZ18" i="18"/>
  <c r="Q18" i="20"/>
  <c r="AA20" i="43"/>
  <c r="I12" i="91"/>
  <c r="G12" i="91"/>
  <c r="J10" i="64" l="1"/>
  <c r="J19" i="64"/>
  <c r="J21" i="64"/>
  <c r="J16" i="64"/>
  <c r="J13" i="64"/>
  <c r="J20" i="64"/>
  <c r="J7" i="64"/>
  <c r="J15" i="64"/>
  <c r="J8" i="64"/>
  <c r="J18" i="64"/>
  <c r="J12" i="64"/>
  <c r="J14" i="64"/>
  <c r="F244" i="47"/>
  <c r="I9" i="48"/>
  <c r="L13" i="48"/>
  <c r="I20" i="48"/>
  <c r="I7" i="48"/>
  <c r="L11" i="48"/>
  <c r="I10" i="48"/>
  <c r="L18" i="48"/>
  <c r="I12" i="48"/>
  <c r="I6" i="48"/>
  <c r="I14" i="48"/>
  <c r="L8" i="48"/>
  <c r="I16" i="48"/>
  <c r="I19" i="48"/>
  <c r="F223" i="47"/>
  <c r="J22" i="31"/>
  <c r="I15" i="48"/>
  <c r="L17" i="48"/>
  <c r="AW22" i="18"/>
  <c r="L21" i="48"/>
  <c r="M24" i="32"/>
  <c r="K24" i="32"/>
  <c r="N24" i="32" s="1"/>
  <c r="D24" i="46"/>
  <c r="D17" i="46"/>
  <c r="D8" i="46"/>
  <c r="D19" i="46"/>
  <c r="D9" i="46"/>
  <c r="D13" i="46"/>
  <c r="D14" i="46"/>
  <c r="E17" i="46"/>
  <c r="E22" i="46"/>
  <c r="D6" i="46"/>
  <c r="D27" i="46"/>
  <c r="D29" i="46"/>
  <c r="D28" i="46"/>
  <c r="E23" i="46"/>
  <c r="F23" i="46" s="1"/>
  <c r="E6" i="46"/>
  <c r="D30" i="46"/>
  <c r="D11" i="46"/>
  <c r="D26" i="46"/>
  <c r="D16" i="46"/>
  <c r="D10" i="46"/>
  <c r="D21" i="46"/>
  <c r="E13" i="46"/>
  <c r="D23" i="46"/>
  <c r="D15" i="46"/>
  <c r="D25" i="46"/>
  <c r="D12" i="46"/>
  <c r="D20" i="46"/>
  <c r="E25" i="46"/>
  <c r="D22" i="46"/>
  <c r="D18" i="46"/>
  <c r="D7" i="46"/>
  <c r="E21" i="46"/>
  <c r="F21" i="46" s="1"/>
  <c r="L6" i="48"/>
  <c r="L9" i="48"/>
  <c r="L19" i="48"/>
  <c r="J6" i="64"/>
  <c r="F222" i="47"/>
  <c r="L15" i="48"/>
  <c r="I13" i="48"/>
  <c r="W24" i="32"/>
  <c r="Z24" i="32" s="1"/>
  <c r="Y24" i="32"/>
  <c r="L14" i="48"/>
  <c r="J11" i="64"/>
  <c r="L20" i="48"/>
  <c r="I17" i="48"/>
  <c r="L12" i="48"/>
  <c r="I8" i="48"/>
  <c r="L16" i="48"/>
  <c r="I21" i="48"/>
  <c r="L7" i="48"/>
  <c r="I11" i="48"/>
  <c r="L10" i="48"/>
  <c r="I18" i="48"/>
  <c r="F237" i="47" l="1"/>
  <c r="F238" i="47"/>
  <c r="F224" i="47"/>
  <c r="F234" i="47"/>
  <c r="F233" i="47" l="1"/>
</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<sst xmlns="http://schemas.openxmlformats.org/spreadsheetml/2006/main" count="2879" uniqueCount="1223">
  <si>
    <t>Personale soggetto a turnazione (**) Personale indicato in T1</t>
  </si>
  <si>
    <t>Personale soggetto a reperibilità (**) Personale indicato in T1</t>
  </si>
  <si>
    <t>CONTRATTI PER RESA SERVIZI/ADEMPIMENTI OBBLIGATORI PER LEGGE</t>
  </si>
  <si>
    <t>L115</t>
  </si>
  <si>
    <t>j=(a+b+c+d-e-f-g-h-i)</t>
  </si>
  <si>
    <t>k</t>
  </si>
  <si>
    <t>j=k</t>
  </si>
  <si>
    <t>u=(l+m+n+o-p-q-r-s-t)</t>
  </si>
  <si>
    <t>v</t>
  </si>
  <si>
    <t>u=v</t>
  </si>
  <si>
    <t>unità per il calcolo delle assenze (*)</t>
  </si>
  <si>
    <t>Presenti per titolo di studio 
(Tab 9)</t>
  </si>
  <si>
    <t>T1</t>
  </si>
  <si>
    <t>SQ 1</t>
  </si>
  <si>
    <t>T2</t>
  </si>
  <si>
    <t>SQ 2</t>
  </si>
  <si>
    <t>T3</t>
  </si>
  <si>
    <t>SQ 3</t>
  </si>
  <si>
    <t>T4</t>
  </si>
  <si>
    <t>SQ 4</t>
  </si>
  <si>
    <t>T5</t>
  </si>
  <si>
    <t>T6</t>
  </si>
  <si>
    <t>T7</t>
  </si>
  <si>
    <t>IN 1</t>
  </si>
  <si>
    <t>T8</t>
  </si>
  <si>
    <t>IN 2</t>
  </si>
  <si>
    <t>T9</t>
  </si>
  <si>
    <t>IN 4</t>
  </si>
  <si>
    <t>T10</t>
  </si>
  <si>
    <t>IN 5</t>
  </si>
  <si>
    <t>T11</t>
  </si>
  <si>
    <t>IN 6</t>
  </si>
  <si>
    <t>T12</t>
  </si>
  <si>
    <t>IN 7</t>
  </si>
  <si>
    <t>T13</t>
  </si>
  <si>
    <t>T14</t>
  </si>
  <si>
    <t>T15</t>
  </si>
  <si>
    <t>Totale della Tabella T11</t>
  </si>
  <si>
    <t>Totale della Tabella T1</t>
  </si>
  <si>
    <t>Totale della Tabella T3 (personale esterno)</t>
  </si>
  <si>
    <t>Totale Usciti della Tabella T4</t>
  </si>
  <si>
    <t>Totale Entrati della Tabella T4</t>
  </si>
  <si>
    <t>Totale della Tabella T5</t>
  </si>
  <si>
    <t>Incongruenza 7</t>
  </si>
  <si>
    <t>Incongruenza           [se a&gt;0 e (b=0 e c=0 e d=0 e e=0 e f=0)]</t>
  </si>
  <si>
    <t>Incongruenza         [se a=0 e (b&gt;0 o c&gt;0 o d&gt;0 o e&gt;0 o f&gt;0)]</t>
  </si>
  <si>
    <t>Contratti di somministrazione (ex interinale)</t>
  </si>
  <si>
    <t>Contratti di somministrazione
(ex Interinale) (*)</t>
  </si>
  <si>
    <t>INDIRIZZO PAGINA WEB DELL'ENTE</t>
  </si>
  <si>
    <t>CONVENZIONI</t>
  </si>
  <si>
    <t>Passaggi ad altra Amministrazione dello stesso comparto (*)</t>
  </si>
  <si>
    <t>Passaggi ad altra Amministrazione di altro comparto (*)</t>
  </si>
  <si>
    <t>LAUREA BREVE</t>
  </si>
  <si>
    <t>SPECIALIZZAZIONE
POST LAUREA/ DOTTORATO DI RICERCA</t>
  </si>
  <si>
    <t>ALTRI TITOLI
POST LAUREA</t>
  </si>
  <si>
    <t>FORMAZIONE</t>
  </si>
  <si>
    <t>N U M E R O      D I     D I P E N D E N T I</t>
  </si>
  <si>
    <t>Cod.</t>
  </si>
  <si>
    <t>Uomini</t>
  </si>
  <si>
    <t>Donne</t>
  </si>
  <si>
    <t>TOTALE</t>
  </si>
  <si>
    <t>A tempo pieno</t>
  </si>
  <si>
    <t>FERIE</t>
  </si>
  <si>
    <t>N. gg</t>
  </si>
  <si>
    <t>FINO ALLA SCUOLA DELL'OBBLIGO</t>
  </si>
  <si>
    <t>LIC. MEDIA SUPERIORE</t>
  </si>
  <si>
    <t>LAUREA</t>
  </si>
  <si>
    <t>tra 25 e 29 anni</t>
  </si>
  <si>
    <t xml:space="preserve"> tra 30 e 34 anni</t>
  </si>
  <si>
    <t>tra 35 e 39 anni</t>
  </si>
  <si>
    <t>tra 40 e 44 anni</t>
  </si>
  <si>
    <t>tra 45 e 49 anni</t>
  </si>
  <si>
    <t>tra 50 e 54 anni</t>
  </si>
  <si>
    <t>tra 55 e 59 anni</t>
  </si>
  <si>
    <t>tra 60 e 64 anni</t>
  </si>
  <si>
    <t>U</t>
  </si>
  <si>
    <t>D</t>
  </si>
  <si>
    <t>tra 0 e 5 anni</t>
  </si>
  <si>
    <t>tra 6 e 10 anni</t>
  </si>
  <si>
    <t xml:space="preserve"> tra 11 e 15 anni</t>
  </si>
  <si>
    <t>tra 16 e 20 anni</t>
  </si>
  <si>
    <t>tra 21 e 25 anni</t>
  </si>
  <si>
    <t>tra 26 e 30 anni</t>
  </si>
  <si>
    <t>tra 31 e 35 anni</t>
  </si>
  <si>
    <t>tra 36 e 40 anni</t>
  </si>
  <si>
    <t>Altre cause</t>
  </si>
  <si>
    <t>FUORI RUOLO</t>
  </si>
  <si>
    <t>(*) Escluso il personale comandato e quello fuori ruolo</t>
  </si>
  <si>
    <t>Codice</t>
  </si>
  <si>
    <t>CATEGORIA</t>
  </si>
  <si>
    <t>Importo</t>
  </si>
  <si>
    <t>IRAP</t>
  </si>
  <si>
    <t>ALTRE SPESE</t>
  </si>
  <si>
    <t xml:space="preserve">Voci di spesa </t>
  </si>
  <si>
    <t xml:space="preserve"> </t>
  </si>
  <si>
    <t>TREDICESIMA MENSILTA'</t>
  </si>
  <si>
    <t>RECUPERI DERIVANTI DA ASSENZE, RITARDI, ECC.</t>
  </si>
  <si>
    <t>cod.</t>
  </si>
  <si>
    <t>VALLE D'AOSTA</t>
  </si>
  <si>
    <t>PIEMONTE</t>
  </si>
  <si>
    <t>LOMBARDIA</t>
  </si>
  <si>
    <t>VENETO</t>
  </si>
  <si>
    <t>LIGURIA</t>
  </si>
  <si>
    <t>EMILIA ROMAGNA</t>
  </si>
  <si>
    <t>TOSCANA</t>
  </si>
  <si>
    <t>UMBRIA</t>
  </si>
  <si>
    <t>MARCHE</t>
  </si>
  <si>
    <t>LAZIO</t>
  </si>
  <si>
    <t>MOLISE</t>
  </si>
  <si>
    <t>CAMPANIA</t>
  </si>
  <si>
    <t>PUGLIA</t>
  </si>
  <si>
    <t>BASILICATA</t>
  </si>
  <si>
    <t>CALABRIA</t>
  </si>
  <si>
    <t>SICILIA</t>
  </si>
  <si>
    <t>SARDEGNA</t>
  </si>
  <si>
    <t>DESCRIZIONE</t>
  </si>
  <si>
    <t>CODICE</t>
  </si>
  <si>
    <t>In part-time
fino al 50%</t>
  </si>
  <si>
    <t>In part-time
oltre il 50%</t>
  </si>
  <si>
    <t>A tempo determinato (*)</t>
  </si>
  <si>
    <t>Formazione lavoro (*)</t>
  </si>
  <si>
    <t>(*) dati su base annua</t>
  </si>
  <si>
    <t>(**) presenti al 31 dicembre anno corrente</t>
  </si>
  <si>
    <t xml:space="preserve">TOTALE
USCITI
</t>
  </si>
  <si>
    <t>qualifica/posizione economica/profilo</t>
  </si>
  <si>
    <t>qualifica / posiz.economica/profilo</t>
  </si>
  <si>
    <t>PERSONALE DELL'AMMINISTRAZIONE (* )</t>
  </si>
  <si>
    <t>PERSONALE ESTERNO ( ** )</t>
  </si>
  <si>
    <t>(**) Personale comandato e fuori ruolo da altre Amministrazioni</t>
  </si>
  <si>
    <t>qualifica/posiz. economica/profilo</t>
  </si>
  <si>
    <t>qualifica/posiz.economica/profilo</t>
  </si>
  <si>
    <t>STIPENDIO</t>
  </si>
  <si>
    <t>EROGAZIONE BUONI PASTO</t>
  </si>
  <si>
    <t>INDENNITA' DI MISSIONE E TRASFERIMENTO</t>
  </si>
  <si>
    <t>EQUO INDENNIZZO AL PERSONALE</t>
  </si>
  <si>
    <t>BENESSERE DEL PERSONALE</t>
  </si>
  <si>
    <t>FORMAZIONE DEL PERSONALE</t>
  </si>
  <si>
    <t>Qualifica/Posiz.economica/Profilo</t>
  </si>
  <si>
    <t>ASSEGNI PER IL NUCLEO FAMILIARE</t>
  </si>
  <si>
    <t xml:space="preserve">(**) dato pari alla somma del personale a tempo pieno + in part-time fino al 50% + in part-time oltre il 50% </t>
  </si>
  <si>
    <t xml:space="preserve">(*) Escluso il personale comandato e quello fuori ruolo </t>
  </si>
  <si>
    <t xml:space="preserve">TOTALE </t>
  </si>
  <si>
    <t>L005</t>
  </si>
  <si>
    <t>P015</t>
  </si>
  <si>
    <t>P016</t>
  </si>
  <si>
    <t>P062</t>
  </si>
  <si>
    <t>L105</t>
  </si>
  <si>
    <t>P065</t>
  </si>
  <si>
    <t>P055</t>
  </si>
  <si>
    <t>P058</t>
  </si>
  <si>
    <t>P061</t>
  </si>
  <si>
    <t>P090</t>
  </si>
  <si>
    <t>P030</t>
  </si>
  <si>
    <t>L010</t>
  </si>
  <si>
    <t>L011</t>
  </si>
  <si>
    <t>L020</t>
  </si>
  <si>
    <t>L090</t>
  </si>
  <si>
    <t>L100</t>
  </si>
  <si>
    <t>COPERTURE ASSICURATIVE</t>
  </si>
  <si>
    <t>L107</t>
  </si>
  <si>
    <t>L110</t>
  </si>
  <si>
    <t>TOTALE ENTRATI</t>
  </si>
  <si>
    <t>fino a 19 anni</t>
  </si>
  <si>
    <t>tra 20 e 24 anni</t>
  </si>
  <si>
    <t>ENTRATI in: qualifica/posizione economica/profilo</t>
  </si>
  <si>
    <t>(a) personale a tempo indeterminato al quale viene applicato un contratto di lavoro di tipo privatistico (es.:tipografico,chimico,edile,metalmeccanico,portierato, ecc.)</t>
  </si>
  <si>
    <t>ARRETRATI  ANNI PRECEDENTI</t>
  </si>
  <si>
    <t>NUMERO DI MENSILITA' (**)</t>
  </si>
  <si>
    <t>(*) gli importi vanno indicati in EURO, senza cifre decimali (cfr. circolare: "istruzioni generali e specifiche di comparto")</t>
  </si>
  <si>
    <t>(**) il numero delle mensilità va espresso con 2 cifre decimali (cfr. circolare: "istruzioni generali e specifiche di comparto ")</t>
  </si>
  <si>
    <t xml:space="preserve">COMANDATI / DISTACCATI </t>
  </si>
  <si>
    <t>ALTRE ASSENZE NON RETRIBUITE</t>
  </si>
  <si>
    <t>Coerenza</t>
  </si>
  <si>
    <t>Tot Cessati (Tab 5)</t>
  </si>
  <si>
    <t>Tot Entrati (Tab 4)</t>
  </si>
  <si>
    <t>Tot Usciti (Tab 4)</t>
  </si>
  <si>
    <t>A tempo determinato</t>
  </si>
  <si>
    <t>Formazione lavoro</t>
  </si>
  <si>
    <t>L.S.U</t>
  </si>
  <si>
    <t>Scostamento in valore assoluto</t>
  </si>
  <si>
    <t>Codici qualifiche</t>
  </si>
  <si>
    <t>Qualifiche</t>
  </si>
  <si>
    <t>a</t>
  </si>
  <si>
    <t>b</t>
  </si>
  <si>
    <t>c</t>
  </si>
  <si>
    <t>d</t>
  </si>
  <si>
    <t>e</t>
  </si>
  <si>
    <t>f=(a-b+c-d+e)</t>
  </si>
  <si>
    <t>g</t>
  </si>
  <si>
    <t>f=g</t>
  </si>
  <si>
    <t xml:space="preserve">Coerenza </t>
  </si>
  <si>
    <t>Presenti per classi di anzianità di servizio (Tab 7)</t>
  </si>
  <si>
    <t>Presenti per classi di età (Tab 8)</t>
  </si>
  <si>
    <t>Fuori ruolo esterni (IN) (Tab 3)</t>
  </si>
  <si>
    <t>Comandati esterni (IN)  (Tab 3)</t>
  </si>
  <si>
    <t>Fuori ruolo interni (OUT) (Tab 3)</t>
  </si>
  <si>
    <t>h</t>
  </si>
  <si>
    <t>i</t>
  </si>
  <si>
    <t>l</t>
  </si>
  <si>
    <t>m</t>
  </si>
  <si>
    <t>n</t>
  </si>
  <si>
    <t>p</t>
  </si>
  <si>
    <t>Cessati (Tab 5)</t>
  </si>
  <si>
    <t xml:space="preserve"> Assunti (Tab 6)</t>
  </si>
  <si>
    <t>Entrati (Tab 4)</t>
  </si>
  <si>
    <t>Usciti (Tab 4)</t>
  </si>
  <si>
    <t>f</t>
  </si>
  <si>
    <t>f&lt;=e</t>
  </si>
  <si>
    <t>a=b=c=d</t>
  </si>
  <si>
    <t>(e=f=g=h)</t>
  </si>
  <si>
    <t>Comandati interni (OUT) (Tab 3)</t>
  </si>
  <si>
    <t>(*) Solo per le tipologie tenute all'invio della TABELLA 10</t>
  </si>
  <si>
    <t>Totale personale distribuito per Regioni  (calcolato)</t>
  </si>
  <si>
    <t>Totale personale distribuito per Regioni (Tab 10)</t>
  </si>
  <si>
    <t>e=(a-b+c+d)</t>
  </si>
  <si>
    <t xml:space="preserve">Consistenza nella qualifica </t>
  </si>
  <si>
    <t>Spesa (Tab 14)</t>
  </si>
  <si>
    <t>Compresenza</t>
  </si>
  <si>
    <t>Qualifica</t>
  </si>
  <si>
    <t>Mensilità (Tab 12)</t>
  </si>
  <si>
    <t>c=(b/a*12)</t>
  </si>
  <si>
    <t>e=(c-d)</t>
  </si>
  <si>
    <t>f=(e/d*100)</t>
  </si>
  <si>
    <t>Spesa per stipendio (Tab 12)</t>
  </si>
  <si>
    <t>Spesa media annua per stipendio (per 12 mensilità)</t>
  </si>
  <si>
    <t>Importi stipendiali contrattuali annui (per 12 mensilità)</t>
  </si>
  <si>
    <t>Scostamento percentuale</t>
  </si>
  <si>
    <t>(*) Personale comandato e fuori ruolo verso altre Amministrazioni</t>
  </si>
  <si>
    <t>Tot Assunti (Tab 6)</t>
  </si>
  <si>
    <t>Controlli di coerenza</t>
  </si>
  <si>
    <t>IMPORTI</t>
  </si>
  <si>
    <t>Codici spesa</t>
  </si>
  <si>
    <t>Importi comunicati (Tab 14)</t>
  </si>
  <si>
    <t>Incidenza percentuale: Importi comunicati Tab 14 / (Tabella 12 + Tabella 13)</t>
  </si>
  <si>
    <t>N U M E R O   D I   D I P E N D E N T I</t>
  </si>
  <si>
    <t xml:space="preserve">N U M E R O   D I   D I P E N D E N T I </t>
  </si>
  <si>
    <t xml:space="preserve">N U M E R O   D I   D I P E N D E N T I  </t>
  </si>
  <si>
    <t>N U M E R O   G I O R N I   D I   A S S E N Z A</t>
  </si>
  <si>
    <t xml:space="preserve">USCITI da: 
qualifica/posizione economica/profilo
</t>
  </si>
  <si>
    <t xml:space="preserve">Codice
</t>
  </si>
  <si>
    <t>V O C I   D I   S P E S A</t>
  </si>
  <si>
    <t>U O M I N I</t>
  </si>
  <si>
    <t>D O N N E</t>
  </si>
  <si>
    <t>Tavola di controllo degli usciti dalla qualifica di Tabella 4 (Squadratura 4)</t>
  </si>
  <si>
    <t>Tavola di congruenza tra spesa media annua per stipendio (Tabella 12) e importi stipendiali contrattuali</t>
  </si>
  <si>
    <t>Tavola di controllo dei valori di spesa di Tabella 14: incidenza % di ciascun valore sul totale delle spese di Tabella 12+Tabella 13</t>
  </si>
  <si>
    <t>TOTALE TABELLA 12 + TABELLA 13:</t>
  </si>
  <si>
    <t>PARTITA IVA DELL'ENTE</t>
  </si>
  <si>
    <t xml:space="preserve">CODICE FISCALE DELL'ENTE </t>
  </si>
  <si>
    <t>TELEFONO</t>
  </si>
  <si>
    <t xml:space="preserve">FAX </t>
  </si>
  <si>
    <t>E-MAIL</t>
  </si>
  <si>
    <t>INDIRIZZO</t>
  </si>
  <si>
    <t xml:space="preserve">VIA </t>
  </si>
  <si>
    <t>C.A.P.</t>
  </si>
  <si>
    <t>PRESIDENTE:</t>
  </si>
  <si>
    <t>COGNOME</t>
  </si>
  <si>
    <t>NOME</t>
  </si>
  <si>
    <t>COMPONENTI:</t>
  </si>
  <si>
    <t>I modelli debbono essere sottoscritti dai revisori dei conti</t>
  </si>
  <si>
    <t>Non compilare</t>
  </si>
  <si>
    <t>numero contratti</t>
  </si>
  <si>
    <t>numero unità</t>
  </si>
  <si>
    <t>PC</t>
  </si>
  <si>
    <t>S998</t>
  </si>
  <si>
    <t>S999</t>
  </si>
  <si>
    <t>T101</t>
  </si>
  <si>
    <t>ND</t>
  </si>
  <si>
    <t>E-Mail</t>
  </si>
  <si>
    <t>ESTERO</t>
  </si>
  <si>
    <t>FRIULI VENEZIA GIULIA</t>
  </si>
  <si>
    <t>PROVINCIA AUTONOMA TRENTO</t>
  </si>
  <si>
    <t>PROVINCIA AUTONOMA BOLZANO</t>
  </si>
  <si>
    <t>N° Civico</t>
  </si>
  <si>
    <t>F00</t>
  </si>
  <si>
    <t>SC1</t>
  </si>
  <si>
    <t>SS2</t>
  </si>
  <si>
    <t>Totale uomini e donne (Tab T5)</t>
  </si>
  <si>
    <t>Totale della Tabella T13</t>
  </si>
  <si>
    <t>TABELLE 12 -13 ASSENTI</t>
  </si>
  <si>
    <t>Totale usciti (Tab T4)</t>
  </si>
  <si>
    <t>Mensilità (Tab T12)</t>
  </si>
  <si>
    <t>Tavola di congruenza tra Presenti al 31-12 del totale  uomini e donne o Totale uomini e donne Tabella 5 e mensilità della Tabella T12</t>
  </si>
  <si>
    <t>Congruenza (se a&gt;0 o b&gt;0 o c&gt;0 e d&gt;0 )</t>
  </si>
  <si>
    <t>1.0</t>
  </si>
  <si>
    <t>ARRETRATI ANNI PRECEDENTI</t>
  </si>
  <si>
    <t>STRAORDINARIO</t>
  </si>
  <si>
    <t>ATTENZIONE: non compilare in caso in cui l'ente non è tenuto all'invio</t>
  </si>
  <si>
    <t>Congruenza          ( a&gt;0 e b&gt;0)</t>
  </si>
  <si>
    <t>CITTA'                                                     PROV.</t>
  </si>
  <si>
    <t>TABELLE COMPILATE
(attenzione: la seguente sezione verrà compilata in automatico; all'atto dell'inserimento dei dati nel kit verrà annerita la relativa casella)</t>
  </si>
  <si>
    <t>Fino a 1 anno</t>
  </si>
  <si>
    <t>Da 1 a 2 anni</t>
  </si>
  <si>
    <t>Da 2 a 3 anni</t>
  </si>
  <si>
    <t>Oltre i 3 anni</t>
  </si>
  <si>
    <t>Uomo / Donna</t>
  </si>
  <si>
    <t>Tempo determinato</t>
  </si>
  <si>
    <t>TOTALE Tempo determinato</t>
  </si>
  <si>
    <t>Z01</t>
  </si>
  <si>
    <t>T2A</t>
  </si>
  <si>
    <t>Convenzioni esterni (IN) (Tab 3)</t>
  </si>
  <si>
    <t>Convenzioni interni (OUT) (Tab 3)</t>
  </si>
  <si>
    <t>o</t>
  </si>
  <si>
    <t>q</t>
  </si>
  <si>
    <t>r</t>
  </si>
  <si>
    <t>t</t>
  </si>
  <si>
    <t>Totale (Uomini + donne della sezione "Personale Esterno" COMANDATI / DISTACCATI + FUORI RUOLO+CONVENZIONI)+Mensilità medie da T12(mensilità /12)</t>
  </si>
  <si>
    <t>valore</t>
  </si>
  <si>
    <t xml:space="preserve">Assunzione per chiamata diretta (L. 68/99 - categorie protette) </t>
  </si>
  <si>
    <t xml:space="preserve">Assunzione per chiamata numerica (L. 68/99 - categorie protette) </t>
  </si>
  <si>
    <t>Passaggi da altra Amministrazione dello stesso comparto (*)</t>
  </si>
  <si>
    <t>Passaggi da altra Amministrazione di altro comparto (*)</t>
  </si>
  <si>
    <t>Tavola di controllo dei Valori Medi</t>
  </si>
  <si>
    <t>valori medi assenze</t>
  </si>
  <si>
    <r>
      <t xml:space="preserve">mensilità medie </t>
    </r>
    <r>
      <rPr>
        <b/>
        <sz val="7"/>
        <rFont val="Arial"/>
        <family val="2"/>
      </rPr>
      <t xml:space="preserve">
</t>
    </r>
    <r>
      <rPr>
        <sz val="7"/>
        <rFont val="Arial"/>
        <family val="2"/>
      </rPr>
      <t>(mensilità/12)</t>
    </r>
  </si>
  <si>
    <t>ASSENZE RETRIBUITE</t>
  </si>
  <si>
    <t>ASSENZE NON RETRIBUITE</t>
  </si>
  <si>
    <r>
      <t xml:space="preserve">TOTALE VOCI STIPENDIALI
TABELLA 12
</t>
    </r>
    <r>
      <rPr>
        <sz val="7"/>
        <rFont val="Small Fonts"/>
        <family val="2"/>
      </rPr>
      <t>(esclusi arr. anni prec. e recuperi)</t>
    </r>
  </si>
  <si>
    <t>INDENNITA' FISSE</t>
  </si>
  <si>
    <t>ALTRE ACCESSORIE</t>
  </si>
  <si>
    <r>
      <t xml:space="preserve">TOTALE INDENNITA' FISSE ED ACCESSORIE
TABELLA 13
</t>
    </r>
    <r>
      <rPr>
        <sz val="7"/>
        <rFont val="Small Fonts"/>
        <family val="2"/>
      </rPr>
      <t>(esclusi arretrati anni precedenti)</t>
    </r>
  </si>
  <si>
    <t>COMPONENTI COLLEGIO DEI REVISORI (O ORGANO EQUIVALENTE)</t>
  </si>
  <si>
    <t>RESPONSABILE DEL PROCEDIMENTO AMMINISTRATIVO DI CUI ALLA LEGGE 7/8/90, N. 241 CAPO II°</t>
  </si>
  <si>
    <t>Anzianità di servizio maturata al 31/12, anche in modo non continuativo, nell'attuale o in altre amministrazioni</t>
  </si>
  <si>
    <t>SCIOPERO</t>
  </si>
  <si>
    <t>Tavola di compresenza tra importi comunicati in tab.13 e mensilità (tab.12) o personale esterno (tab.3)</t>
  </si>
  <si>
    <t>INFORMAZIONI ISTITUZIONE</t>
  </si>
  <si>
    <t>DOMANDE PRESENTI IN CIRCOLARE</t>
  </si>
  <si>
    <t>Collocamento a riposo per limiti di età</t>
  </si>
  <si>
    <t>Passaggi per esternalizzazioni (*)</t>
  </si>
  <si>
    <t>ALTRE SPESE ACCESSORIE ED INDENNITA' VARIE</t>
  </si>
  <si>
    <t>Nomina da concorso</t>
  </si>
  <si>
    <t>C01</t>
  </si>
  <si>
    <t>C03</t>
  </si>
  <si>
    <t>C17</t>
  </si>
  <si>
    <t>C18</t>
  </si>
  <si>
    <t>C19</t>
  </si>
  <si>
    <t>C99</t>
  </si>
  <si>
    <t>A23</t>
  </si>
  <si>
    <t>A24</t>
  </si>
  <si>
    <t>A27</t>
  </si>
  <si>
    <t>A28</t>
  </si>
  <si>
    <t>A29</t>
  </si>
  <si>
    <t>A30</t>
  </si>
  <si>
    <t>A31</t>
  </si>
  <si>
    <t>Totale Risorse fisse</t>
  </si>
  <si>
    <t>Risorse variabili</t>
  </si>
  <si>
    <t>Totale Risorse variabili</t>
  </si>
  <si>
    <t>ALTRI PERMESSI ED ASSENZE RETRIBUITE</t>
  </si>
  <si>
    <t>ASS.RETRIB.:MATERNITA',CONGEDO PARENT.,MALATTIA FIGLIO</t>
  </si>
  <si>
    <t>LEGGE 104/92</t>
  </si>
  <si>
    <t>PR4</t>
  </si>
  <si>
    <t>PR5</t>
  </si>
  <si>
    <t>PR6</t>
  </si>
  <si>
    <t>ABRUZZO</t>
  </si>
  <si>
    <t xml:space="preserve">GESTIONE MENSE </t>
  </si>
  <si>
    <t>SOMME CORRISPOSTE AD AGENZIA DI SOMMINISTRAZIONE(INTERINALI)</t>
  </si>
  <si>
    <t>RETRIBUZIONI PERSONALE  A TEMPO DETERMINATO</t>
  </si>
  <si>
    <t>RETRIBUZIONI PERSONALE CON CONTRATTO DI FORMAZIONE E LAVORO</t>
  </si>
  <si>
    <t>CONTRIBUTI A CARICO DELL'AMM.NE SU COMP. FISSE E ACCESSORIE</t>
  </si>
  <si>
    <t>QUOTE ANNUE ACCANTONAMENTO TFR O ALTRA IND. FINE SERVIZIO</t>
  </si>
  <si>
    <t>ONERI PER I CONTRATTI DI SOMMINISTRAZIONE(INTERINALI)</t>
  </si>
  <si>
    <t>P098</t>
  </si>
  <si>
    <r>
      <t>ANOMALIE RISCONTRATE</t>
    </r>
    <r>
      <rPr>
        <b/>
        <sz val="10"/>
        <rFont val="Arial"/>
        <family val="2"/>
      </rPr>
      <t xml:space="preserve">
(attenzione: la seguente sezione verrà compilata in automatico; all'atto dell'inserimento dei dati nel kit verranno evidenziate eventuali anomalie)</t>
    </r>
  </si>
  <si>
    <t>Congruenza (max scostamento consentito +/- 2%)</t>
  </si>
  <si>
    <t>v. a. di f&lt;=2%</t>
  </si>
  <si>
    <t>tra 41 e 43 anni</t>
  </si>
  <si>
    <t>44 e oltre</t>
  </si>
  <si>
    <t>tra 65 e 67 anni</t>
  </si>
  <si>
    <t>68 e oltre</t>
  </si>
  <si>
    <t>C25</t>
  </si>
  <si>
    <t>O10</t>
  </si>
  <si>
    <t>CONGEDI RETRIBUITI AI SENSI DELL'ART.42,C.5, DLGS 151/2001</t>
  </si>
  <si>
    <t>ALTRE SOMME RIMBORSATE ALLE AMMINISTRAZIONI</t>
  </si>
  <si>
    <t>P074</t>
  </si>
  <si>
    <t>P099</t>
  </si>
  <si>
    <t>c=(b/a)</t>
  </si>
  <si>
    <t>f=(e/a)</t>
  </si>
  <si>
    <t>Incidenza percentuale arretrati a.p.</t>
  </si>
  <si>
    <t>Incidenza percentuale altre accessorie</t>
  </si>
  <si>
    <t>Incongruenza 8</t>
  </si>
  <si>
    <t>IN 8</t>
  </si>
  <si>
    <t>c&lt;=20%</t>
  </si>
  <si>
    <t>f&lt;=20%</t>
  </si>
  <si>
    <t>Congruenza (max incidenza consentita 20%)</t>
  </si>
  <si>
    <t>Tavola di controllo della spesa per "arretrati a.p." e "altre accessorie" di T13: incidenza % di ciascun valore sul totale di Tabella 13</t>
  </si>
  <si>
    <t>A015</t>
  </si>
  <si>
    <t>A035</t>
  </si>
  <si>
    <t>A045</t>
  </si>
  <si>
    <t>A070</t>
  </si>
  <si>
    <t>M000</t>
  </si>
  <si>
    <t>NOTE</t>
  </si>
  <si>
    <t>Voce di spesa (Tab 14)</t>
  </si>
  <si>
    <t>codice (Tab 14)</t>
  </si>
  <si>
    <t>Valore Medio Unitario:
b / a</t>
  </si>
  <si>
    <t>Incidenza % 
L105 / P062</t>
  </si>
  <si>
    <t>Compresenza 
e/o 
controllo incidenza %</t>
  </si>
  <si>
    <t>RIMBORSI RICEVUTI PER PERS. COMAND./FUORI RUOLO/IN CONV. (-)</t>
  </si>
  <si>
    <t>SOMME RICEVUTE DA U.E. E/O PRIVATI (-)</t>
  </si>
  <si>
    <t>ALTRI RIMBORSI RICEVUTI DALLE AMMINISTRAZIONI (-)</t>
  </si>
  <si>
    <t>(*)  gli importi vanno indicati in EURO, senza cifre decimali (cfr. circolare: "istruzioni generali e specifiche di comparto")</t>
  </si>
  <si>
    <r>
      <t xml:space="preserve">valori medi annui pro-capite per voci retributive a carattere "stipendiale" </t>
    </r>
    <r>
      <rPr>
        <sz val="8"/>
        <rFont val="Arial"/>
        <family val="2"/>
      </rPr>
      <t>(**)</t>
    </r>
  </si>
  <si>
    <r>
      <t>valori medi annui pro-capite per indennità e compensi accessori</t>
    </r>
    <r>
      <rPr>
        <sz val="8"/>
        <rFont val="Arial"/>
        <family val="2"/>
      </rPr>
      <t xml:space="preserve"> (**)</t>
    </r>
  </si>
  <si>
    <t>(**) Valore medio annuo pro-capite calcolato dividendo la spesa per le unità di riferimento (mensilità della T12 / 12)</t>
  </si>
  <si>
    <t>assenze in T11, ma nessuna unità in T1</t>
  </si>
  <si>
    <t xml:space="preserve">Controllo incidenza % L105 / P062  =&gt;  </t>
  </si>
  <si>
    <t>Incongruenza
[(a-gg formazione)&gt;(mens.T12/12*260)]</t>
  </si>
  <si>
    <r>
      <t xml:space="preserve">*(asterisco): si intende campo obbligatorio
</t>
    </r>
    <r>
      <rPr>
        <sz val="9"/>
        <rFont val="Arial"/>
        <family val="2"/>
      </rPr>
      <t/>
    </r>
  </si>
  <si>
    <t>EPNE</t>
  </si>
  <si>
    <t>DIRETTORE GENERALE</t>
  </si>
  <si>
    <t>0D0097</t>
  </si>
  <si>
    <t>DIRIGENTE I FASCIA</t>
  </si>
  <si>
    <t>0D0077</t>
  </si>
  <si>
    <t>DIRIGENTE I FASCIA A TEMPO DETERM.</t>
  </si>
  <si>
    <t>0D0078</t>
  </si>
  <si>
    <t>DIRIGENTE II FASCIA</t>
  </si>
  <si>
    <t>0D0079</t>
  </si>
  <si>
    <t>DIRIGENTE II FASCIA A TEMPO DETERM.</t>
  </si>
  <si>
    <t>0D0080</t>
  </si>
  <si>
    <t>MEDICO II FASCIA T.P.</t>
  </si>
  <si>
    <t>0D0584</t>
  </si>
  <si>
    <t>MEDICO I FASCIA T.P.</t>
  </si>
  <si>
    <t>0D0585</t>
  </si>
  <si>
    <t>MEDICO II FASCIA T.D.</t>
  </si>
  <si>
    <t>0D0586</t>
  </si>
  <si>
    <t>MEDICO I FASCIA T.D.</t>
  </si>
  <si>
    <t>0D0496</t>
  </si>
  <si>
    <t>000061</t>
  </si>
  <si>
    <t>MEDICI</t>
  </si>
  <si>
    <t>MD</t>
  </si>
  <si>
    <t>PROFESSIONISTI</t>
  </si>
  <si>
    <t>AP</t>
  </si>
  <si>
    <t>PERSONALE CONTRATTISTA</t>
  </si>
  <si>
    <t>IND. DI VACANZA CONTRATTUALE</t>
  </si>
  <si>
    <t>RETRIBUZIONE DI POSIZIONE</t>
  </si>
  <si>
    <t>RETRIBUZIONE DI POSIZIONE - QUOTA VARIABILE</t>
  </si>
  <si>
    <t>RETRIBUZIONE DI RISULTATO</t>
  </si>
  <si>
    <t>INDENNITA' DI ENTE</t>
  </si>
  <si>
    <t>COMPENSI ONERI RISCHI E DISAGI</t>
  </si>
  <si>
    <t>INDENNITA'  FUNZIONE POSIZIONI ORGANIZZATIVE</t>
  </si>
  <si>
    <t xml:space="preserve">COMPENSI PRODUTTIVITA' </t>
  </si>
  <si>
    <t>PROGETTI SPECIALI ( ART.18 L.88/89 )</t>
  </si>
  <si>
    <t>INCENTIVI ALLA MOBILITA'</t>
  </si>
  <si>
    <t>I422</t>
  </si>
  <si>
    <t>I207</t>
  </si>
  <si>
    <t>I507</t>
  </si>
  <si>
    <t>I212</t>
  </si>
  <si>
    <t>I144</t>
  </si>
  <si>
    <t>S604</t>
  </si>
  <si>
    <t>S616</t>
  </si>
  <si>
    <t>S630</t>
  </si>
  <si>
    <t>S670</t>
  </si>
  <si>
    <t>S708</t>
  </si>
  <si>
    <t>Indicare il numero di contratti per prestazioni professionali consistenti nella resa di servizi o adempimenti obbligatori per legge.</t>
  </si>
  <si>
    <t>Indicare il totale delle somme trattenute ai dipendenti nell'anno di rilevazione per le assenze per malattia in applicazione dell'art. 71 del D.L. n. 112 del 25/06/2008 convertito in L. 133/2008.</t>
  </si>
  <si>
    <t>Quanti sono i dipendenti al 31.12 in aspettativa per dottorato di ricerca con retribuzione a carico dell'amministrazione ai sensi dell’articolo 2 della legge 476/1984 e s.m.?</t>
  </si>
  <si>
    <t>2F</t>
  </si>
  <si>
    <t>ME</t>
  </si>
  <si>
    <t>PR</t>
  </si>
  <si>
    <t>F76G</t>
  </si>
  <si>
    <t>F05H</t>
  </si>
  <si>
    <t>F06H</t>
  </si>
  <si>
    <t>F07H</t>
  </si>
  <si>
    <t>F08H</t>
  </si>
  <si>
    <t>F09H</t>
  </si>
  <si>
    <t>F50H</t>
  </si>
  <si>
    <t>F51H</t>
  </si>
  <si>
    <t>F54B</t>
  </si>
  <si>
    <t>F10H</t>
  </si>
  <si>
    <t>F15H</t>
  </si>
  <si>
    <t>F999</t>
  </si>
  <si>
    <t>U449</t>
  </si>
  <si>
    <t>U998</t>
  </si>
  <si>
    <t>1F</t>
  </si>
  <si>
    <t>F11H</t>
  </si>
  <si>
    <t>F12H</t>
  </si>
  <si>
    <t>F86G</t>
  </si>
  <si>
    <t>F13H</t>
  </si>
  <si>
    <t>F62B</t>
  </si>
  <si>
    <t>F63B</t>
  </si>
  <si>
    <t>F64B</t>
  </si>
  <si>
    <t>F65B</t>
  </si>
  <si>
    <t>F14H</t>
  </si>
  <si>
    <t>F57B</t>
  </si>
  <si>
    <t>F94G</t>
  </si>
  <si>
    <t>F19C</t>
  </si>
  <si>
    <t>F20C</t>
  </si>
  <si>
    <t>F22C</t>
  </si>
  <si>
    <t>F23C</t>
  </si>
  <si>
    <t>F90G</t>
  </si>
  <si>
    <t>F91G</t>
  </si>
  <si>
    <t>F92G</t>
  </si>
  <si>
    <t>F93G</t>
  </si>
  <si>
    <t>F18C</t>
  </si>
  <si>
    <t>U264</t>
  </si>
  <si>
    <t>U267</t>
  </si>
  <si>
    <t>U552</t>
  </si>
  <si>
    <t>U554</t>
  </si>
  <si>
    <t>U556</t>
  </si>
  <si>
    <t>F99G</t>
  </si>
  <si>
    <t>F01H</t>
  </si>
  <si>
    <t>F02H</t>
  </si>
  <si>
    <t>F03H</t>
  </si>
  <si>
    <t>F04C</t>
  </si>
  <si>
    <t>F04H</t>
  </si>
  <si>
    <t>F05C</t>
  </si>
  <si>
    <t>F06C</t>
  </si>
  <si>
    <t>F11C</t>
  </si>
  <si>
    <t>SOMME RIMBORSATE PER PERSONALE COMAND./FUORI RUOLO/IN CONV.</t>
  </si>
  <si>
    <t>P071</t>
  </si>
  <si>
    <t>T12 non compilata o assenze comunicate &gt; gg lavorabili (</t>
  </si>
  <si>
    <t>ONORARI AVVOCATI</t>
  </si>
  <si>
    <t>S750</t>
  </si>
  <si>
    <t>INDENNITA' ART.42, COMMA 5, D.LGS. 151/2001</t>
  </si>
  <si>
    <t>COMPETENZE PERSONALE COMANDATO/DISTACCATO PRESSO L'AMM.NE</t>
  </si>
  <si>
    <t>I424</t>
  </si>
  <si>
    <t>S761</t>
  </si>
  <si>
    <t>TOTALE del personale da distribuire</t>
  </si>
  <si>
    <t>REFERENTE DA CONTATTARE</t>
  </si>
  <si>
    <t>Domande SI_1</t>
  </si>
  <si>
    <t>Unità annue
dichiarate in SI_1</t>
  </si>
  <si>
    <t>Totale presenti al
31-12 dichiarati in T1</t>
  </si>
  <si>
    <t>Controllo</t>
  </si>
  <si>
    <t>Assenze dichiarate</t>
  </si>
  <si>
    <t xml:space="preserve">Compresenza </t>
  </si>
  <si>
    <t>VOCI DI SPESA RILEVATE</t>
  </si>
  <si>
    <t>IMPORTO SICO</t>
  </si>
  <si>
    <t>IMPORTO BILANCIO (*)</t>
  </si>
  <si>
    <t>TABELLA 12</t>
  </si>
  <si>
    <t>A999</t>
  </si>
  <si>
    <t>TABELLA 13</t>
  </si>
  <si>
    <t>###</t>
  </si>
  <si>
    <t>ASSEGNI NUCLEO FAMILIARE</t>
  </si>
  <si>
    <t>GESTIONE MENSE</t>
  </si>
  <si>
    <t xml:space="preserve">CONTRIBUTI A CARICO DELL'AMMINISTRAZIONE SU COMPETENZE FISSE ED ACCESSORIE </t>
  </si>
  <si>
    <t xml:space="preserve">IRAP </t>
  </si>
  <si>
    <t>SOMME RIMBORSATE ALLE AMMINISTRAZIONI PER SPESE DI PERSONALE (sommatoria dei diversi rimborsi presenti in tabella 14)</t>
  </si>
  <si>
    <t>P998</t>
  </si>
  <si>
    <t>TOTALE GENERALE</t>
  </si>
  <si>
    <t>RIMBORSI RICEVUTI  DALLE AMMINISTRAZIONI PER SPESE DI PERSONALE  (a riduzione) (sommatoria dei diversi rimborsi presenti in tabella 14)</t>
  </si>
  <si>
    <t>P999</t>
  </si>
  <si>
    <t>TOTALE GENERALE AL NETTO DEI RIMBORSI</t>
  </si>
  <si>
    <t>TRC</t>
  </si>
  <si>
    <t>IN 3</t>
  </si>
  <si>
    <t>NOTE: Elenco Istituzioni ed importi dei rimborsi effettuati (**)</t>
  </si>
  <si>
    <t>NOTE: Elenco Istituzioni ed importi dei rimborsi ricevuti (***)</t>
  </si>
  <si>
    <t>(**) campo riservato all'inserimento delle informazioni di dettaglio (nome Istituzione ed importo) riguardanti i rimborsi effettuati (P071, P074). Eventuali note su altre voci di spesa dovranno essere immesse nel campo "note e chiarimenti" della SI_1</t>
  </si>
  <si>
    <t>(***) campo riservato all'inserimento delle informazioni di dettaglio (nome Istituzione ed importo) riguardanti i rimborsi ricevuti (P090, P098, P099). Eventuali note su altre voci di spesa dovranno essere immesse nel campo "note e chiarimenti" della SI_1</t>
  </si>
  <si>
    <t>SOMME CORRISPOSTE AD AGENZIA DI SOMMINISTRAZIONE (INTERINALI)</t>
  </si>
  <si>
    <t>ONERI PER I CONTRATTI DI SOMMINISTRAZIONE (INTERINALI)</t>
  </si>
  <si>
    <t xml:space="preserve">RETRIBUZIONI PERSONALE A TEMPO DETERMINATO </t>
  </si>
  <si>
    <t>QUOTE ANNUE DI ACCANTONAMENTO  TFR O ALTRA INDENNITA'  FINE SERVIZIO</t>
  </si>
  <si>
    <t>COMPENSI PER PERSONALE ADDETTO A LAVORI SOCIALMENTE UTILI</t>
  </si>
  <si>
    <t>C21</t>
  </si>
  <si>
    <t>A35</t>
  </si>
  <si>
    <t>P035</t>
  </si>
  <si>
    <t>CONTRIBUTI A CARICO DELL'AMM.NE PER FONDI PREV. COMPLEMENTARE</t>
  </si>
  <si>
    <t>Si</t>
  </si>
  <si>
    <t>No</t>
  </si>
  <si>
    <r>
      <rPr>
        <b/>
        <sz val="7"/>
        <rFont val="Helv"/>
      </rPr>
      <t>IRAP</t>
    </r>
    <r>
      <rPr>
        <sz val="7"/>
        <rFont val="Helv"/>
      </rPr>
      <t xml:space="preserve">
</t>
    </r>
    <r>
      <rPr>
        <b/>
        <sz val="7"/>
        <rFont val="Helv"/>
      </rPr>
      <t>Commerciale</t>
    </r>
  </si>
  <si>
    <t>Coerenza T1 con personale T3 OUT</t>
  </si>
  <si>
    <t>Coerenza distribuzione territoriale</t>
  </si>
  <si>
    <t>a&gt;=(e+f+g+h+i)</t>
  </si>
  <si>
    <t>l&gt;=(p+q+r+s+t)</t>
  </si>
  <si>
    <t>sono presenti unità in T1 o personale esterno in T3, ma non assenze in T11</t>
  </si>
  <si>
    <t>ATTENZIONE:Per gli Enti che non sono tenuti all’invio della Tabella 10, la Tavola va considerata con riferimento al diagnostico della colonna “Coerenza T1 con personale T3 OUT”</t>
  </si>
  <si>
    <t>Totale Fondo posizione e risultato</t>
  </si>
  <si>
    <t>F96H</t>
  </si>
  <si>
    <t>Altri istituti non compresi fra i precedenti</t>
  </si>
  <si>
    <t>Indennità di specificità medica</t>
  </si>
  <si>
    <t>Specifico trattamento economico</t>
  </si>
  <si>
    <t>Totale Fondo Medici</t>
  </si>
  <si>
    <t>Indennità coordinamento</t>
  </si>
  <si>
    <t>Indennità professionisti legali</t>
  </si>
  <si>
    <t>Indennità altri professionisti</t>
  </si>
  <si>
    <t>Totale Fondo Professionisti</t>
  </si>
  <si>
    <t>Retribuzione di risultato</t>
  </si>
  <si>
    <t>IN 9</t>
  </si>
  <si>
    <t>Personale stabilizzato da LSU/LPU</t>
  </si>
  <si>
    <t>COMPENSI PER PERSONALE LSU/LPU</t>
  </si>
  <si>
    <t>NOTE E CHIARIMENTI ALLA RILEVAZIONE
(max 1500 caratteri)</t>
  </si>
  <si>
    <t xml:space="preserve">Tavola di congruenza tra il personale a Tempo Determinato comunicato in T2 con la ripartizione dello stesso personale comunicato in T2A
</t>
  </si>
  <si>
    <t>Totale T2</t>
  </si>
  <si>
    <t>Totale T2A</t>
  </si>
  <si>
    <t>Confronto T2/T2A</t>
  </si>
  <si>
    <t>U+D</t>
  </si>
  <si>
    <t>a con d</t>
  </si>
  <si>
    <t>b con e</t>
  </si>
  <si>
    <t>IN 10</t>
  </si>
  <si>
    <r>
      <t xml:space="preserve">COGNOME </t>
    </r>
    <r>
      <rPr>
        <b/>
        <sz val="12"/>
        <rFont val="Arial"/>
        <family val="2"/>
      </rPr>
      <t>*</t>
    </r>
  </si>
  <si>
    <r>
      <t xml:space="preserve">NOME </t>
    </r>
    <r>
      <rPr>
        <b/>
        <sz val="12"/>
        <rFont val="Arial"/>
        <family val="2"/>
      </rPr>
      <t>*</t>
    </r>
  </si>
  <si>
    <r>
      <t xml:space="preserve">E-Mail </t>
    </r>
    <r>
      <rPr>
        <b/>
        <sz val="12"/>
        <rFont val="Arial"/>
        <family val="2"/>
      </rPr>
      <t>*</t>
    </r>
  </si>
  <si>
    <r>
      <rPr>
        <sz val="8"/>
        <rFont val="Arial"/>
        <family val="2"/>
      </rPr>
      <t xml:space="preserve">TELEFONO </t>
    </r>
    <r>
      <rPr>
        <b/>
        <sz val="12"/>
        <rFont val="Arial"/>
        <family val="2"/>
      </rPr>
      <t>*</t>
    </r>
  </si>
  <si>
    <t>(sono evidenziate quelle valorizzate nella T1)</t>
  </si>
  <si>
    <t>(sono evidenziate le qualifiche valorizzate per l'anno)</t>
  </si>
  <si>
    <t>INDENNITA' PROFESSIONALI</t>
  </si>
  <si>
    <t>I426</t>
  </si>
  <si>
    <t>Risoluz. rapporto di lavoro</t>
  </si>
  <si>
    <t>Somme
dichiarate in SI_1</t>
  </si>
  <si>
    <t>F27I</t>
  </si>
  <si>
    <t xml:space="preserve">Retribuzione risultato professionisti legali </t>
  </si>
  <si>
    <t>U10I</t>
  </si>
  <si>
    <t xml:space="preserve">Retribuzione risultato altri professionisti </t>
  </si>
  <si>
    <t>U11I</t>
  </si>
  <si>
    <t>I418</t>
  </si>
  <si>
    <t>ASSEGNO AD PERSONAM</t>
  </si>
  <si>
    <t xml:space="preserve"> Incongruenza 1</t>
  </si>
  <si>
    <t>Tavola di compresenza tra valori di organico di personale con rapporto di lavoro flessibile di Scheda Informativa 1 e relativa spesa di Tabella 14</t>
  </si>
  <si>
    <t>Tipologia lavoro flessibile (SI_1)</t>
  </si>
  <si>
    <t>Unità annue 
(SI_1)</t>
  </si>
  <si>
    <t xml:space="preserve"> Incongruenza 11</t>
  </si>
  <si>
    <t>Tavola di compresenza tra valori di organico di personale con rapporto di lavoro flessibile di Tabella 2 e relativa spesa di Tabella 14</t>
  </si>
  <si>
    <t>Tipologia lavoro flessibile (Tab 2)</t>
  </si>
  <si>
    <t>Unità annue 
(Tab 2)</t>
  </si>
  <si>
    <t>Tavola di coerenza tra valori dichiarati in SI_1 come appartenenti a categorie protette, titolari di permessi per legge n. 104/92, titolari di permessi ai sensi dell'art. 42, comma 5 d.lgs. 151/2001, con il personale indicato in  Tab. 1</t>
  </si>
  <si>
    <t xml:space="preserve"> Incongruenza 12</t>
  </si>
  <si>
    <t xml:space="preserve">Tavola di compresenza tra valori dichiarati nella SI_1 come titolari di permessi per legge n. 104/92 e titolari di permessi ai sensi dell'art. 42, comma 5 d.lgs. 151/2001, con le giornate di assenza indicate in Tab. 11 </t>
  </si>
  <si>
    <t xml:space="preserve"> Incongruenza 13</t>
  </si>
  <si>
    <t>Tavola di compresenza tra le somme trattenute per malattia indicate nella SI_1 e i giorni di assenza per malattia retribuita indicati nella Tab. 11</t>
  </si>
  <si>
    <t>Tavola di congruenza tra i giorni di assenza indicati nella Tabella 11 e i valori di organico inseriti nelle Tabelle 1, 3, 4, 5 (incongruenza 7)</t>
  </si>
  <si>
    <t xml:space="preserve">Tavola di congruenza tra i giorni totali pro-capite di assenza (escluse assenze per formazione e quelle non retribuite) calcolati dai valori indicati nella Tabella 11, con il numero MAX dei gg lavorativi annui
</t>
  </si>
  <si>
    <t>Totale della Tabella T11 esclusa formazione e altre ass. non retribuite</t>
  </si>
  <si>
    <t>Mensilità/12</t>
  </si>
  <si>
    <t>Incongruenza 14</t>
  </si>
  <si>
    <t>IN 11</t>
  </si>
  <si>
    <t>IN 12</t>
  </si>
  <si>
    <t>IN 13</t>
  </si>
  <si>
    <t>IN 14</t>
  </si>
  <si>
    <t>IN 15</t>
  </si>
  <si>
    <t>IN 16</t>
  </si>
  <si>
    <t>SQ9</t>
  </si>
  <si>
    <t>SQUADRATURA 9</t>
  </si>
  <si>
    <t>Fondo retribuzione di posizione e risultato</t>
  </si>
  <si>
    <t>Risorse / Costituzione del fondo</t>
  </si>
  <si>
    <t>Impeghi / Importi erogati</t>
  </si>
  <si>
    <t>Risorse fisse aventi carattere di certezza e stabilità</t>
  </si>
  <si>
    <t>Fondo</t>
  </si>
  <si>
    <t>Natura</t>
  </si>
  <si>
    <t>Voce</t>
  </si>
  <si>
    <t>Dato</t>
  </si>
  <si>
    <t>INCONGRUENZA 15</t>
  </si>
  <si>
    <t>Fondo Area Medica</t>
  </si>
  <si>
    <t>Fondo Area dei Professionisti</t>
  </si>
  <si>
    <t>SCHEDA UNIFICATA EX ART. 40 BIS, COMMA 3 DEL D.LGS. N.165/2001:</t>
  </si>
  <si>
    <t>"SPECIFICHE INFORMAZIONI SULLA CONTRATTAZIONE INTEGRATIVA"</t>
  </si>
  <si>
    <t>INCONGRUENZA 16</t>
  </si>
  <si>
    <t>MACROCATEGORIA: DIRIGENTI DI II^ FASCIA</t>
  </si>
  <si>
    <t>Contatore</t>
  </si>
  <si>
    <t>GEN</t>
  </si>
  <si>
    <t>FONDO RELATIVO ALL'ANNO DI RILEVAZIONE / TEMPISTICA DELLA C.I.</t>
  </si>
  <si>
    <t>Cod_sez</t>
  </si>
  <si>
    <t>Cod_dom</t>
  </si>
  <si>
    <t>Tipo_dom</t>
  </si>
  <si>
    <t>FLAG</t>
  </si>
  <si>
    <t>DATE</t>
  </si>
  <si>
    <t>GEN195</t>
  </si>
  <si>
    <t>INT</t>
  </si>
  <si>
    <t>Annualità di ritardo nella certificazione del fondo/i contrattazione integrativa alla compilazione/rettifica della presente scheda (0=almeno costituzione fondo/i anno rilevazione certif.; 1=almeno costituzione fondo/i anno precedente certif. ecc.)</t>
  </si>
  <si>
    <t>LEG</t>
  </si>
  <si>
    <t>ORG</t>
  </si>
  <si>
    <t>ORGANIZZAZIONE E INCARICHI</t>
  </si>
  <si>
    <t>ORG189</t>
  </si>
  <si>
    <t>Numero complessivo di funzioni dirigenziali di II^ fascia previste nell'ordinamento</t>
  </si>
  <si>
    <t>ORG268</t>
  </si>
  <si>
    <t>Numero di posizioni dirigenziali effettivamente coperte alla data del 31.12 dell'anno di rilevazione per la fascia più elevata</t>
  </si>
  <si>
    <t>ORG269</t>
  </si>
  <si>
    <t>Numero di posizioni dirigenziali effettivamente coperte alla data del 31.12 dell'anno di rilevazione per la fascia meno elevata</t>
  </si>
  <si>
    <t>ORG270</t>
  </si>
  <si>
    <t>Numero di posizioni dirigenziali effettivamente coperte alla data del 31.12 dell'anno di rilevazione per le restanti fasce</t>
  </si>
  <si>
    <t>ORG136</t>
  </si>
  <si>
    <t>ORG179</t>
  </si>
  <si>
    <t>ORG161</t>
  </si>
  <si>
    <t>ORG271</t>
  </si>
  <si>
    <t>Numero di posizioni dirigenziali effettivamente coperte alla data del 31.12 dell'anno di rilevazione con incarico ad interim</t>
  </si>
  <si>
    <t>ORG272</t>
  </si>
  <si>
    <t>PRD</t>
  </si>
  <si>
    <t>PRD137</t>
  </si>
  <si>
    <t>PRD115</t>
  </si>
  <si>
    <t>INF</t>
  </si>
  <si>
    <t>INFORMAZIONI / CHIARIMENTI</t>
  </si>
  <si>
    <t>INF209</t>
  </si>
  <si>
    <t>Informazioni/chiarimenti da parte dell'Organo di controllo (max 1.500 caratteri)</t>
  </si>
  <si>
    <t>INF127</t>
  </si>
  <si>
    <t>Informazioni/chiarimenti da parte dell'Amministrazione (max 1.500 caratteri)</t>
  </si>
  <si>
    <t>MACROCATEGORIA: MEDICI</t>
  </si>
  <si>
    <t>ORG224</t>
  </si>
  <si>
    <t>ORG225</t>
  </si>
  <si>
    <t>ORG165</t>
  </si>
  <si>
    <t>ORG187</t>
  </si>
  <si>
    <t>MACROCATEGORIA: PROFESSIONISTI</t>
  </si>
  <si>
    <t>ORG129</t>
  </si>
  <si>
    <t>Numero di incarichi di coordinamento ai professionisti di II° livello differenziato al 31.12 dell'anno di rilevazione</t>
  </si>
  <si>
    <t>ORG148</t>
  </si>
  <si>
    <t>ORG200</t>
  </si>
  <si>
    <t>ORG186</t>
  </si>
  <si>
    <t>ORG180</t>
  </si>
  <si>
    <t>Numero di incarichi di coordinamento dei professionisti di I° livello differenziato al 31.12 dell'anno di rilevazione</t>
  </si>
  <si>
    <t>ORG122</t>
  </si>
  <si>
    <t>ORG141</t>
  </si>
  <si>
    <t>ORG197</t>
  </si>
  <si>
    <t>MACROCATEGORIA: PERSONALE NON DIRIGENTE</t>
  </si>
  <si>
    <t>PEO</t>
  </si>
  <si>
    <t>PEO188</t>
  </si>
  <si>
    <t>PEO119</t>
  </si>
  <si>
    <t>PEO133</t>
  </si>
  <si>
    <t>PRD287</t>
  </si>
  <si>
    <t>PRD134</t>
  </si>
  <si>
    <t>SICI</t>
  </si>
  <si>
    <t>PERSONALE IN ASPETTATIVA</t>
  </si>
  <si>
    <t>R.I.A.</t>
  </si>
  <si>
    <t>A031</t>
  </si>
  <si>
    <t xml:space="preserve">STIPENDIO 
più I.I.S </t>
  </si>
  <si>
    <t>Personale in aspettativa (OUT)
(Tab 3)</t>
  </si>
  <si>
    <t>Decurtazioni</t>
  </si>
  <si>
    <t>F02P</t>
  </si>
  <si>
    <t>F00P</t>
  </si>
  <si>
    <t>F01P</t>
  </si>
  <si>
    <t>Totale Decurtazioni</t>
  </si>
  <si>
    <t>INCONGRUENZA 9</t>
  </si>
  <si>
    <t>F02Z</t>
  </si>
  <si>
    <t>GEN353</t>
  </si>
  <si>
    <t>GEN354</t>
  </si>
  <si>
    <t>GEN355</t>
  </si>
  <si>
    <t>LSU/LPU/ASU(*)</t>
  </si>
  <si>
    <t>A41</t>
  </si>
  <si>
    <t>Art 76 c 2 Ccnl 16-18 - Unico importo consolidato 2017</t>
  </si>
  <si>
    <t>F05L</t>
  </si>
  <si>
    <t>F05M</t>
  </si>
  <si>
    <t>F05N</t>
  </si>
  <si>
    <t>F05O</t>
  </si>
  <si>
    <t>Art 2 c 3 DLgs 165/2001 - Risp. tratt. ec. pre-Ccnl 94-97</t>
  </si>
  <si>
    <t>F70A</t>
  </si>
  <si>
    <t>Art 43 L 449/1997 - Entr. conto terzi o utenza o sponsor.</t>
  </si>
  <si>
    <t>Art 43 L 449/1997 - Risparmi di gestione</t>
  </si>
  <si>
    <t>Art 16 cc 4-5-6 DL 98/11 - Risp. piani razionalizzazione</t>
  </si>
  <si>
    <t>F05R</t>
  </si>
  <si>
    <t>F05S</t>
  </si>
  <si>
    <t>F05T</t>
  </si>
  <si>
    <t>Art 1 c 189 L 266/05 - Dec. fondo rispetto limite 2004-10%</t>
  </si>
  <si>
    <t>Art 1 c 456 L 147/2013 - Decurtazione permanente</t>
  </si>
  <si>
    <t>Art 40 c 3-q DLgs 165/2001 - Dec. anno per piani di recup.</t>
  </si>
  <si>
    <t>F01S</t>
  </si>
  <si>
    <t>Fondo risorse decentrate</t>
  </si>
  <si>
    <t>Totale Fondo risorse decentrate</t>
  </si>
  <si>
    <t>U02L</t>
  </si>
  <si>
    <t>U02M</t>
  </si>
  <si>
    <t>U02N</t>
  </si>
  <si>
    <t>U02P</t>
  </si>
  <si>
    <t>U02Q</t>
  </si>
  <si>
    <t>U02R</t>
  </si>
  <si>
    <t>U02S</t>
  </si>
  <si>
    <t>U02T</t>
  </si>
  <si>
    <t>U22I</t>
  </si>
  <si>
    <t>RISPETTO DI SPECIFICI LIMITI DI LEGGE</t>
  </si>
  <si>
    <t>LEG362</t>
  </si>
  <si>
    <t>Importo del limite di cui all'art. 9, comma 28 del decreto legge n. 78/2010 riferito all'anno corrente (euro)</t>
  </si>
  <si>
    <t>LEG364</t>
  </si>
  <si>
    <t>Importo del limite di cui all'art. 9, comma 28 del decreto legge n. 78/2010 utilizzato ai fini delle assunzioni effettuate nell'anno corrente ai sensi dell'art. 20, comma 3 del Dlgs 75/2017 (stipendio, accessorio e O.R. a carico dell'amministrazione)</t>
  </si>
  <si>
    <t>PRD368</t>
  </si>
  <si>
    <t>Importo totale della performance individuale erogata a valere sul fondo dell'anno di rilevazione (euro)</t>
  </si>
  <si>
    <t>PRD369</t>
  </si>
  <si>
    <t>Importo totale della performance organizzativa erogata a valere sul fondo dell'anno di rilevazione (euro)</t>
  </si>
  <si>
    <t>PRD370</t>
  </si>
  <si>
    <t>Importo totale della performance (individuale e organizzativa) non erogata a seguito della valutazione non piena con riferimento al fondo dell'anno di rilevazione (euro)</t>
  </si>
  <si>
    <t>PRD396</t>
  </si>
  <si>
    <t>Fondo 2004 cert org contr. / parte fissa (art1 c189 L266/05)</t>
  </si>
  <si>
    <t>Incrementi Ccnl 06-09 (art. 39 c. 1)</t>
  </si>
  <si>
    <t>Incrementi Ccnl 08-09 (art. 10 c. 1)</t>
  </si>
  <si>
    <t>Ria pers. cessato base annua (art 86 c 4 p 1 Ccnl 94-97)</t>
  </si>
  <si>
    <t>Nuovi servizi/riorg/incr dot org (art. 1 c. 2 Ccnl 8.1.03)</t>
  </si>
  <si>
    <t>Ria pers. cess. rateo anno cess (art 86 c 4 p 2 Ccnl 94-97)</t>
  </si>
  <si>
    <t>Risparmi incentivazione (art. 42 c. 2 L. c Ccnl 98-01)</t>
  </si>
  <si>
    <t>Risparmi di gestione personale(art. 42 c. 2 L. b Ccnl 98-01)</t>
  </si>
  <si>
    <t>Nuovi servizi / riorganizzazione (art. 1 c 2 Ccnl 8.1.03)</t>
  </si>
  <si>
    <t>Incrementi Ccnl 04-05 (art. 14 c. 1 alinea 2 e 3)</t>
  </si>
  <si>
    <t>Incrementi Ccnl 06-07 (art. 40 c. 1)</t>
  </si>
  <si>
    <t>Incrementi Ccnl 08-09 (art. 11 c. 1)</t>
  </si>
  <si>
    <t>Ria personale cessato base annua (art14 cc 2-3 Ccnl 14.4.97)</t>
  </si>
  <si>
    <t>Nuovi servizi/riorg/incr dot org (art. 2 c. 2 Ccnl 08.01.03)</t>
  </si>
  <si>
    <t>Ria pers. cessato rateo anno cess (art14 cc2-3 Ccnl 14.4.97)</t>
  </si>
  <si>
    <t>Nuovi servizi / riorganizzazione (art. 2 c. 2 Ccnl 08.01.03)</t>
  </si>
  <si>
    <t>Risparmi di gestione personale(art. 43 c. 2 L. b Ccnl 98-01)</t>
  </si>
  <si>
    <t>Risparmi incentivazione (art. 43 c. 2 L. c Ccnl 98-01)</t>
  </si>
  <si>
    <t>Disp. legge/reg./atti amm. (art. 43 c. 2 L. e Ccnl 98-01)</t>
  </si>
  <si>
    <t>Art 23 c 2 DLgs 75/2017 - Dec. fondo rispetto limite 2016</t>
  </si>
  <si>
    <t>Incrementi Ccnl 04-05 (art. 7 c. 1 alinea 2 e 3)</t>
  </si>
  <si>
    <t>Incrementi Ccnl 06-09 (art. 21 c. 1)</t>
  </si>
  <si>
    <t>Incrementi Ccnl 08-09 (art. 7 c. 1)</t>
  </si>
  <si>
    <t>Ria personale cessato base annua (art59  c.4 p.1 Ccnl 02-05)</t>
  </si>
  <si>
    <t>Nuovi servizi/riorg/incr dot org  (art. 59 c. 9 Ccnl 02-05)</t>
  </si>
  <si>
    <t>Ria pers. cessato rateo anno cess (art59 c.4 p.2 Ccnl 02-05)</t>
  </si>
  <si>
    <t>Nuovi servizi / riorganizzazione (art. 59 c. 9 Ccnl 02-05)</t>
  </si>
  <si>
    <t>Ris. da terzi per incar. agg.vi (art 59 c 3 L. a Ccnl02-05)</t>
  </si>
  <si>
    <t>Magg. entr. o ec. gest. (art. 59 c. 3 L. d Ccnl 02-05)</t>
  </si>
  <si>
    <t>Ris. art. 3 c. 2 Ccnl 5.4.01 (art. 59 c. 3 L. e Ccnl 02-05)</t>
  </si>
  <si>
    <t>Ria personale cessato base annua (art52  c.4 p.1 Ccnl 02-05)</t>
  </si>
  <si>
    <t>Nuovi servizi/riorg/incr dot org  (art. 52 c. 7 Ccnl02-05)</t>
  </si>
  <si>
    <t>Nuovi servizi / riorganizzazione (art. 52 c. 7 Ccnl 02-05)</t>
  </si>
  <si>
    <t>Ris. da terzi per incar. agg.vi (art 52 c 3 L. a Ccnl 02-05)</t>
  </si>
  <si>
    <t>PERFORMANCE / RISULTATO</t>
  </si>
  <si>
    <t>Valore unitario su base annua della retribuzione di posizione previsto per la fascia più elevata (euro)</t>
  </si>
  <si>
    <t>Valore unitario su base annua della retribuzione di posizione previsto per le restanti fasce (valore medio in euro)</t>
  </si>
  <si>
    <t>Valore medio su base annua della retribuzione per gli incarichi dirigenziali ad interim (risultato in euro)</t>
  </si>
  <si>
    <t>Importo totale della retribuzione di risultato erogata a valere sul fondo dell'anno di rilevazione (euro)</t>
  </si>
  <si>
    <t>Importo totale della retribuzione di risultato non erogata a seguito della valutazione non piena con riferimento al fondo dell'anno di rilevazione (euro)</t>
  </si>
  <si>
    <t>Valore unitario della retribuzione di posizione più elevata del personale medico di I^ fascia (euro)</t>
  </si>
  <si>
    <t>Valore unitario della retribuzione di posizione meno elevata del personale medico di I^ fascia (euro)</t>
  </si>
  <si>
    <t>Valore unitario della retribuzione di posizione più elevata del personale medico di II^ fascia (euro)</t>
  </si>
  <si>
    <t>Valore unitario della retribuzione di posizione meno elevata del personale medico di II^ fascia (euro)</t>
  </si>
  <si>
    <t>Valore unitario dell'indennità di coordinamento previsto per la fascia più elevata dei professionisti di II° livello differenziato (euro)</t>
  </si>
  <si>
    <t>Valore medio dell'indennità di coordinamento dei professionisti di II° livello differenziato (euro)</t>
  </si>
  <si>
    <t>Valore unitario dell'indennità di coordinamento previsto per la fascia meno elevata dei professionisti di II° livello differenziato (euro)</t>
  </si>
  <si>
    <t>Valore unitario dell'indennità di coordinamento previsto per la fascia più elevata dei professionisti di I° livello differenziato (euro)</t>
  </si>
  <si>
    <t>Valore medio dell'indennità di coordinamento dei professionisti di I° livello differenziato (euro)</t>
  </si>
  <si>
    <t>Valore unitario dell'indennità di coordinamento previsto per la fascia meno elevata dei professionisti di I° livello differenziato (euro)</t>
  </si>
  <si>
    <t>Importo totale della retribuzione di risultato riferita ad incarichi di posizioni organizzative, alte professionalità ecc. erogato a valere sull'anno di rilevazione (euro)</t>
  </si>
  <si>
    <t>Importo totale della retribuzione di risultato relativo ad incarichi di posizioni organizzative, alte professionalità ecc. non erogato a seguito della valutazione non piena con riferimento all'anno di rilevazione (euro)</t>
  </si>
  <si>
    <t>Art 76 c 3 L b) Ccnl 16-18 - RIA pers cessato misura intera</t>
  </si>
  <si>
    <t>Art 76 c 3 L c) Ccnl 16-18 - Ind amm/ente pers cess non riut</t>
  </si>
  <si>
    <t>Art 76 c 3 L a) Ccnl 16-18 - Incremento da 1.1.18</t>
  </si>
  <si>
    <t>Art 76 c 4 L d) Ccnl 16-18 - RIA Ind amm/ente ces mens resid</t>
  </si>
  <si>
    <t>Art 76 c 4 L g) Ccnl 16-18 - Nuovi servizi / processi riorg</t>
  </si>
  <si>
    <t>Licenziamenti disposti dall’ente</t>
  </si>
  <si>
    <t>F10M</t>
  </si>
  <si>
    <t>F10N</t>
  </si>
  <si>
    <t>LEG398</t>
  </si>
  <si>
    <t>LEG406</t>
  </si>
  <si>
    <t>Risorse destinate ordinariamente alla remunerazione del lavoro straordinario per l'anno corrente (euro)</t>
  </si>
  <si>
    <t>IN 17</t>
  </si>
  <si>
    <t>F11W</t>
  </si>
  <si>
    <t>F11V</t>
  </si>
  <si>
    <t>F11Y</t>
  </si>
  <si>
    <t>Incrementi Ccnl 16-18 (art. 51 c. 1)</t>
  </si>
  <si>
    <t>F11X</t>
  </si>
  <si>
    <t>Incrementi Ccnl 16-18 (art. 97 c. 1)</t>
  </si>
  <si>
    <t>F11Z</t>
  </si>
  <si>
    <t>Incrementi Ccnl 16-18 (art. 89 c. 1)</t>
  </si>
  <si>
    <t>F12J</t>
  </si>
  <si>
    <t>F12K</t>
  </si>
  <si>
    <t xml:space="preserve">Indicare il numero di dioendenti posti in esenzione dal servizio per emergenza COVID-19 </t>
  </si>
  <si>
    <t>numero giorni</t>
  </si>
  <si>
    <t xml:space="preserve">Indicare il numero dei giorni concessi ai dipendenti posti in esenzione dal servizio per emergenza COVID-19 </t>
  </si>
  <si>
    <t>Destinazioni erogate per prestazioni rese nell'anno di riferimento</t>
  </si>
  <si>
    <t>Totale Destinazioni erogate per prestazioni rese nell'anno di riferimento</t>
  </si>
  <si>
    <t>F16L</t>
  </si>
  <si>
    <t>Straordinario (bilancio)</t>
  </si>
  <si>
    <t>U06B</t>
  </si>
  <si>
    <t>Totale Straordinario (bilancio)</t>
  </si>
  <si>
    <t>Risorse a carico del Bilancio</t>
  </si>
  <si>
    <t>Art 30 Ccnl 98-01 - Ris straordinario ord stanziate bilancio</t>
  </si>
  <si>
    <t>F16K</t>
  </si>
  <si>
    <t>Totale Risorse a carico del Bilancio</t>
  </si>
  <si>
    <t>SQUADRATURA 5</t>
  </si>
  <si>
    <t>MACROCATEGORIA: DIRIGENTI DI I^ FASCIA</t>
  </si>
  <si>
    <t>GEN196</t>
  </si>
  <si>
    <t>Data di certificazione della costituzione del fondo/i specificamente riferita all'anno di rilevazione (art. 40-bis, c.1 del Dlgs 165/2001)</t>
  </si>
  <si>
    <t>LEG428</t>
  </si>
  <si>
    <t>Importo del limite 2016 riferito alla presente macrocategoria (euro)</t>
  </si>
  <si>
    <t>ORG431</t>
  </si>
  <si>
    <t>Numero complessivo di funzioni dirigenziali di I^ fascia previste nell'ordinamento</t>
  </si>
  <si>
    <t>Tavola di controllo del rispetto del limite 2016 di cui all'art. 23, comma 2 del decreto legislativo n. 75/2017</t>
  </si>
  <si>
    <t>SQUADRATURA 6</t>
  </si>
  <si>
    <t>Dirigenti di I^ Fascia</t>
  </si>
  <si>
    <t>Dirigenti di II^ Fascia</t>
  </si>
  <si>
    <t>Medici</t>
  </si>
  <si>
    <t>Professionisti</t>
  </si>
  <si>
    <t>Personale
non
dirigente</t>
  </si>
  <si>
    <t>Amministrazione nel suo complesso</t>
  </si>
  <si>
    <t>a.</t>
  </si>
  <si>
    <t>Totale risorse tabella 15</t>
  </si>
  <si>
    <t>b.</t>
  </si>
  <si>
    <r>
      <t>Totale voci non rilevanti ai fini della verifica del limite 2016</t>
    </r>
    <r>
      <rPr>
        <vertAlign val="superscript"/>
        <sz val="8"/>
        <color indexed="8"/>
        <rFont val="Arial"/>
        <family val="2"/>
      </rPr>
      <t xml:space="preserve"> (*)</t>
    </r>
  </si>
  <si>
    <t>c.</t>
  </si>
  <si>
    <t>Totale risorse soggette alla verifica del limite (a-b)</t>
  </si>
  <si>
    <t>d.</t>
  </si>
  <si>
    <r>
      <t>Limite 2016 di cui all'articolo 23, comma 2 del DLgs 75/2017</t>
    </r>
    <r>
      <rPr>
        <vertAlign val="superscript"/>
        <sz val="8"/>
        <color indexed="8"/>
        <rFont val="Arial"/>
        <family val="2"/>
      </rPr>
      <t xml:space="preserve"> (**)</t>
    </r>
  </si>
  <si>
    <t>e.</t>
  </si>
  <si>
    <r>
      <rPr>
        <vertAlign val="superscript"/>
        <sz val="8"/>
        <rFont val="Arial"/>
        <family val="2"/>
      </rPr>
      <t xml:space="preserve">(*) </t>
    </r>
    <r>
      <rPr>
        <sz val="8"/>
        <rFont val="Arial"/>
        <family val="2"/>
      </rPr>
      <t>Voce LEG398 della scheda SICI della corrispondente macro-categoria.</t>
    </r>
  </si>
  <si>
    <r>
      <rPr>
        <vertAlign val="superscript"/>
        <sz val="8"/>
        <rFont val="Arial"/>
        <family val="2"/>
      </rPr>
      <t xml:space="preserve">(**) </t>
    </r>
    <r>
      <rPr>
        <sz val="8"/>
        <rFont val="Arial"/>
        <family val="2"/>
      </rPr>
      <t>Voce</t>
    </r>
    <r>
      <rPr>
        <b/>
        <sz val="8"/>
        <color indexed="12"/>
        <rFont val="Arial"/>
        <family val="2"/>
      </rPr>
      <t xml:space="preserve"> </t>
    </r>
    <r>
      <rPr>
        <sz val="8"/>
        <color indexed="8"/>
        <rFont val="Arial"/>
        <family val="2"/>
      </rPr>
      <t>LEG428</t>
    </r>
    <r>
      <rPr>
        <sz val="8"/>
        <rFont val="Arial"/>
        <family val="2"/>
      </rPr>
      <t xml:space="preserve"> della scheda SICI della corrispondente macro-categoria.</t>
    </r>
  </si>
  <si>
    <t>Tavola di congruenza delle  voci non soggette alla verifica del limite 2016 di cui all'articolo 23,</t>
  </si>
  <si>
    <t>comma 2, del decreto legislativo n. 75/2017 (schede SICI e tabelle 15)</t>
  </si>
  <si>
    <t>Totale non soggetto a verifica scheda SICI (LEG398)</t>
  </si>
  <si>
    <t>Differenza (a - b)</t>
  </si>
  <si>
    <t>In caso di certificazione disgiunta: data di certificazione della sola costituzione del fondo/i specificamente riferita all'anno di rilevazione (art. 40-bis, c.1 del Dlgs 165/2001)</t>
  </si>
  <si>
    <t>In caso di certificazione disgiunta: data di certificazione del solo contratto integrativo economico specificamente riferito al fondo/i dell'anno di rilevazione, sulla base di certificazione costituzione fondo effettuata in precedenza (art. 40-bis, c.1 del Dlgs 165/2001)</t>
  </si>
  <si>
    <t>In caso di certificazione congiunta: data di certificazione tanto della costituzione del fondo che del contratto integrativo economico specificamente riferito al fondo/i dell'anno di rilevazione (art. 40-bis, c.1 del Dlgs 165/2001)</t>
  </si>
  <si>
    <t>RISORSE FISSE AVENTI CARATTERE DI CERTEZZA E STABILTA'</t>
  </si>
  <si>
    <t>RISORSE VARIABILI</t>
  </si>
  <si>
    <t>NO</t>
  </si>
  <si>
    <t>U06J</t>
  </si>
  <si>
    <t>Art 73 c 1 Ccnl 16-18 - Ridet per increm stip Ccnl</t>
  </si>
  <si>
    <t>Dimissioni con diritto a pensione</t>
  </si>
  <si>
    <t>SEGNALAZIONE - Nuovo controllo</t>
  </si>
  <si>
    <t>Retribuzione di posizione</t>
  </si>
  <si>
    <t>U448</t>
  </si>
  <si>
    <t>Altre risorse non comprese fra le precedenti</t>
  </si>
  <si>
    <t>F00O</t>
  </si>
  <si>
    <t>Risorse art. 18 L. 88/89</t>
  </si>
  <si>
    <t>F19S</t>
  </si>
  <si>
    <t>Altre decurtazioni non comprese fra le precedenti</t>
  </si>
  <si>
    <t>TOTALE GENERALE RISORSE</t>
  </si>
  <si>
    <t>TOTALE GENERALE IMPIEGHI EROGATI</t>
  </si>
  <si>
    <t>Indennità condizioni di lavoro</t>
  </si>
  <si>
    <t>Performance organizzativa</t>
  </si>
  <si>
    <t>Performance individuale</t>
  </si>
  <si>
    <t>Progressioni economiche anno di rifer.to</t>
  </si>
  <si>
    <t>Indennità posizioni organizzative</t>
  </si>
  <si>
    <t>Incentivi alla mobilità territoriale</t>
  </si>
  <si>
    <t>Welfare integrativo a carico del fondo</t>
  </si>
  <si>
    <t>Quota annuale TFR carico fondo</t>
  </si>
  <si>
    <t>x</t>
  </si>
  <si>
    <t>Totale risorse della tabella 15 (e, ove previste, anche della sezione LEG della scheda SICI) della presente macro-categoria non rilevanti ai fini della verifica del limite art. 23 c. 2 Dlgs 75/2017 (euro)</t>
  </si>
  <si>
    <t>Totale non soggetto a verifica Tabella 15/SICI (voci sotto elencate)</t>
  </si>
  <si>
    <t>Differenza % (a - b) / a x 100</t>
  </si>
  <si>
    <t>MACRO CATEGO RIA</t>
  </si>
  <si>
    <t>Tavola di congruenza della retribuzione di posizione esposta in tabella 13 (voce I207) con l'analoga voce esposta in tabella 15 e scheda SICI</t>
  </si>
  <si>
    <t>INCONGRUENZA 3</t>
  </si>
  <si>
    <t>Tabella 13 - Totale retribuzione di posizione e/o di incarico (senza 13ma)</t>
  </si>
  <si>
    <t>Tabella 13 - Totale retribuzione di posizione cod. I207 (senza 13ma)</t>
  </si>
  <si>
    <t>Tabella 13 - Totale retribuzione di posizione var. cod. I507 (senza 13ma)</t>
  </si>
  <si>
    <r>
      <t>Tabella 13 - Totale retribuzione di posizione (con 13ma)</t>
    </r>
    <r>
      <rPr>
        <vertAlign val="superscript"/>
        <sz val="8"/>
        <rFont val="Arial"/>
        <family val="2"/>
      </rPr>
      <t xml:space="preserve"> (*)</t>
    </r>
  </si>
  <si>
    <t>Tabella 15 - Codice retribuzione macrocategoria di riferimento</t>
  </si>
  <si>
    <t>Tabella 15 - Retribuzione di posizione di competenza dell'anno di rilevazione</t>
  </si>
  <si>
    <t>Differenza T15 - T13 in valore assoluto (c - b)</t>
  </si>
  <si>
    <t>Differenza T15 - T13 in % (d / b x 100)</t>
  </si>
  <si>
    <t>Scheda SICI - n. posizioni fascia più elevata</t>
  </si>
  <si>
    <t>Scheda SICI - valore medio annuo retribuzione di posizione fascia più elevata</t>
  </si>
  <si>
    <t>Scheda SICI - n. posizioni fascia meno elevata</t>
  </si>
  <si>
    <t>Scheda SICI - valore medio annuo retribuzione di posizione fascia meno elevata</t>
  </si>
  <si>
    <t>Scheda SICI - n. posizioni restanti fasce</t>
  </si>
  <si>
    <t>Scheda SICI - valore medio annuo retribuzione di posizione restanti fasce</t>
  </si>
  <si>
    <t>f.</t>
  </si>
  <si>
    <r>
      <t>Scheda SICI retribuzione totale</t>
    </r>
    <r>
      <rPr>
        <vertAlign val="superscript"/>
        <sz val="8"/>
        <rFont val="Arial"/>
        <family val="2"/>
      </rPr>
      <t xml:space="preserve"> (**)</t>
    </r>
  </si>
  <si>
    <t>g.</t>
  </si>
  <si>
    <t>Differenza SICI - T13 in valore assoluto (k - b)</t>
  </si>
  <si>
    <t>h.</t>
  </si>
  <si>
    <t>Differenza SICI - T13 in % (l / b x 100)</t>
  </si>
  <si>
    <r>
      <rPr>
        <vertAlign val="superscript"/>
        <sz val="8"/>
        <rFont val="Arial"/>
        <family val="2"/>
      </rPr>
      <t xml:space="preserve">(*) </t>
    </r>
    <r>
      <rPr>
        <sz val="8"/>
        <rFont val="Arial"/>
        <family val="2"/>
      </rPr>
      <t xml:space="preserve"> Il calcolo è effettuato dividendo convenzionalmente per 12 il valore della retribuzione di posizione esposto in tabella 13 (valore mensile) e moltiplicando quindi per 13 (valore annuale compresa tredicesima).</t>
    </r>
  </si>
  <si>
    <r>
      <rPr>
        <vertAlign val="superscript"/>
        <sz val="8"/>
        <rFont val="Arial"/>
        <family val="2"/>
      </rPr>
      <t xml:space="preserve">(**) </t>
    </r>
    <r>
      <rPr>
        <sz val="8"/>
        <rFont val="Arial"/>
        <family val="2"/>
      </rPr>
      <t xml:space="preserve"> Il calcolo è effettuato sommando il numero di posizioni di ciascuna "fascia" per il relativo valore medio.</t>
    </r>
  </si>
  <si>
    <t>Dirigenti di 1^ Fascia</t>
  </si>
  <si>
    <t>Dirigenti di 2^ Fascia</t>
  </si>
  <si>
    <t>Personale non Dirigente</t>
  </si>
  <si>
    <t>Tabella 13 - Totale indennità funzioni P.O. S616 (senza 13ma)</t>
  </si>
  <si>
    <t>Retribuzione di risultato (onnicomprensività)</t>
  </si>
  <si>
    <t>U02I</t>
  </si>
  <si>
    <t>Ria pers. cessato rateo anno prec(art 52 c.4 p.2 Ccnl 02-05)</t>
  </si>
  <si>
    <t>Numero di incarichi alla data del 31.12 dell'anno di rilevazione personale medico I^ fascia con retribuzione di posizione più elevata</t>
  </si>
  <si>
    <t>Numero di incarichi alla data del 31.12 dell'anno di rilevazione personale medico I^ fascia con retribuzione di posizione meno elevata</t>
  </si>
  <si>
    <t>Numero di incarichi alla data del 31.12 dell'anno di rilevazione personale medico I^ fascia con retribuzione di posizione intermedia</t>
  </si>
  <si>
    <t>Valore unitario su base annua della retribuzione di posizione previsto per il personale medico di I^ fascia con retribuzione di posizione intermedia (valore medio in euro)</t>
  </si>
  <si>
    <t>Numero di incarichi alla data del 31.12 dell'anno di rilevazione personale medico II^ fascia con retribuzione di posizione più elevata</t>
  </si>
  <si>
    <t>Numero di incarichi alla data del 31.12 dell'anno di rilevazione personale medico II^ fascia con retribuzione di posizione meno elevata</t>
  </si>
  <si>
    <t>Numero di incarichi alla data del 31.12 dell'anno di rilevazione personale medico II^ fascia con retribuzione di posizione intermedia</t>
  </si>
  <si>
    <t>Valore unitario su base annua della retribuzione di posizione previsto per il personale medico di II^ fascia con retribuzione di posizione intermedia (valore medio in euro)</t>
  </si>
  <si>
    <t>Prestazioni lavoro straordinario</t>
  </si>
  <si>
    <t>ORG443</t>
  </si>
  <si>
    <t>ORG444</t>
  </si>
  <si>
    <t>ORG445</t>
  </si>
  <si>
    <t>ORG446</t>
  </si>
  <si>
    <t>ORG447</t>
  </si>
  <si>
    <t>ORG448</t>
  </si>
  <si>
    <t>ORG449</t>
  </si>
  <si>
    <t>ORG450</t>
  </si>
  <si>
    <t>Scheda SICI - n. posizioni fascia più elevata medici I^ fascia</t>
  </si>
  <si>
    <t>Scheda SICI - valore medio annuo retribuzione di posizione fascia più elevata medici I^ fascia</t>
  </si>
  <si>
    <t>Scheda SICI - n. posizioni fascia meno elevata medici I^ fascia</t>
  </si>
  <si>
    <t>Scheda SICI - valore medio annuo retribuzione di posizione fascia meno elevata medici I^ fascia</t>
  </si>
  <si>
    <t>Scheda SICI - n. posizioni restanti fasce medici I^ fascia</t>
  </si>
  <si>
    <t>Scheda SICI - valore medio annuo retribuzione di posizione restanti fasce medici I^ fascia</t>
  </si>
  <si>
    <t>Scheda SICI - n. posizioni fascia più elevata medici II^ fascia</t>
  </si>
  <si>
    <t>Scheda SICI - valore medio annuo retribuzione di posizione fascia più elevata medici II^ fascia</t>
  </si>
  <si>
    <t>Scheda SICI - n. posizioni fascia meno elevata medici II^ fascia</t>
  </si>
  <si>
    <t>Scheda SICI - valore medio annuo retribuzione di posizione fascia meno elevata medici II^ fascia</t>
  </si>
  <si>
    <t>Scheda SICI - n. posizioni restanti fasce medici II^ fascia</t>
  </si>
  <si>
    <t>Scheda SICI - valore medio annuo retribuzione di posizione restanti fasce medici II^ fascia</t>
  </si>
  <si>
    <t>Art 9 c 3 DL 90/2014 - Comp Avvocati carico controparti</t>
  </si>
  <si>
    <t>Art 9 c 6 DL 90/2014 - Comp Avvocati spese compensate</t>
  </si>
  <si>
    <t>Art 11 c 1 L B DL 135/18 - Incr acc ass deroga fac ass.li</t>
  </si>
  <si>
    <t>ELEVATE PROFESSIONALITA'</t>
  </si>
  <si>
    <t>FUNZIONARI</t>
  </si>
  <si>
    <t>ASSISTENTI</t>
  </si>
  <si>
    <t>OPERATORI</t>
  </si>
  <si>
    <t>0EP981</t>
  </si>
  <si>
    <t>PERSONALE ELEVATE PROFESSIONALITA</t>
  </si>
  <si>
    <t>EP</t>
  </si>
  <si>
    <t>FU</t>
  </si>
  <si>
    <t>AT</t>
  </si>
  <si>
    <t>OP</t>
  </si>
  <si>
    <t>A033</t>
  </si>
  <si>
    <t>DIFFERENZIALE STIPENDIALE MATURATO</t>
  </si>
  <si>
    <r>
      <t xml:space="preserve">Costituzione fondi per il trattamento accessorio </t>
    </r>
    <r>
      <rPr>
        <vertAlign val="superscript"/>
        <sz val="10"/>
        <rFont val="Arial"/>
        <family val="2"/>
      </rPr>
      <t>(1)</t>
    </r>
  </si>
  <si>
    <r>
      <t>Destinazione fondi per il trattamento accessorio</t>
    </r>
    <r>
      <rPr>
        <sz val="10"/>
        <rFont val="Arial"/>
        <family val="2"/>
      </rPr>
      <t xml:space="preserve"> </t>
    </r>
    <r>
      <rPr>
        <vertAlign val="superscript"/>
        <sz val="10"/>
        <rFont val="Arial"/>
        <family val="2"/>
      </rPr>
      <t>(1)</t>
    </r>
  </si>
  <si>
    <t>SQUADRATURA 8</t>
  </si>
  <si>
    <r>
      <rPr>
        <vertAlign val="superscript"/>
        <sz val="8"/>
        <rFont val="Arial"/>
        <family val="2"/>
      </rPr>
      <t xml:space="preserve">(1) </t>
    </r>
    <r>
      <rPr>
        <sz val="8"/>
        <rFont val="Arial"/>
        <family val="2"/>
      </rPr>
      <t>Tutti gli importi vanno indicati in euro e al netto degli oneri sociali (contributi ed IRAP) a carico del datore di lavoro</t>
    </r>
  </si>
  <si>
    <r>
      <rPr>
        <vertAlign val="superscript"/>
        <sz val="8"/>
        <rFont val="Arial"/>
        <family val="2"/>
      </rPr>
      <t xml:space="preserve">(2) </t>
    </r>
    <r>
      <rPr>
        <sz val="8"/>
        <rFont val="Arial"/>
        <family val="2"/>
      </rPr>
      <t>Escluse le poste identificate in voci specifiche separate.</t>
    </r>
  </si>
  <si>
    <t>Differenziali stipendiali in essere non disponibili alla CI</t>
  </si>
  <si>
    <t>U20S</t>
  </si>
  <si>
    <t>Art 49 c 2 Ccnl 19-21 - Ris diff stip preced carico bilancio</t>
  </si>
  <si>
    <t>F20S</t>
  </si>
  <si>
    <t>F20T</t>
  </si>
  <si>
    <t>Performance nuovi modelli organizzativi (lavoro agile)</t>
  </si>
  <si>
    <t>U07H</t>
  </si>
  <si>
    <t>Specifiche responsabilità</t>
  </si>
  <si>
    <t>U00L</t>
  </si>
  <si>
    <r>
      <t xml:space="preserve">Art 11 c 1 L B DL 135/18 - Incr acc ass deroga fac ass.li </t>
    </r>
    <r>
      <rPr>
        <vertAlign val="superscript"/>
        <sz val="8"/>
        <rFont val="Arial"/>
        <family val="2"/>
      </rPr>
      <t>(2)</t>
    </r>
  </si>
  <si>
    <t>F20U</t>
  </si>
  <si>
    <t>F20Z</t>
  </si>
  <si>
    <r>
      <rPr>
        <vertAlign val="superscript"/>
        <sz val="8"/>
        <rFont val="Arial"/>
        <family val="2"/>
      </rPr>
      <t xml:space="preserve">(3) </t>
    </r>
    <r>
      <rPr>
        <sz val="8"/>
        <rFont val="Arial"/>
        <family val="2"/>
      </rPr>
      <t>Escluse le poste identificate in voci specifiche separate.</t>
    </r>
  </si>
  <si>
    <t xml:space="preserve">Valore unitario su base annua della retribuzione di posizione previsto per la fascia meno elevata (euro) </t>
  </si>
  <si>
    <t>GEN474</t>
  </si>
  <si>
    <t>Livelli di contrattazione (solo per le amministrazioni con due livelli di contrattazione) - Totale delle risorse destinate alla contrattazione integrativa nazionale nell'anno di rilevazione (art. 7, comma 2, CCNL 9 maggio 2022, euro)</t>
  </si>
  <si>
    <t>GEN475</t>
  </si>
  <si>
    <t>Livelli di contrattazione (solo per le amministrazioni con due livelli di contrattazione) - Totale a livello nazionale delle risorse destinate alla contrattazione integrativa di sede unica nell'anno di rilevazione (art. 7, comma 2, CCNL 9 maggio 2022, euro)</t>
  </si>
  <si>
    <t>ORG460</t>
  </si>
  <si>
    <t>Numero incarichi elevate professionalità ex art. 16 Ccnl 2019-21 in essere al 31.12 dell'anno di rilevazione</t>
  </si>
  <si>
    <t>ORG461</t>
  </si>
  <si>
    <t>Valore unitario medio su base annua della retribuzione di posizione (art. 16, c. 6 Ccnl 2019-21) degli incarichi di elevata professionalità in essere al 31.12 dell'anno di rilevazione (euro)</t>
  </si>
  <si>
    <t>ORG462</t>
  </si>
  <si>
    <t>ORG463</t>
  </si>
  <si>
    <t>ORG464</t>
  </si>
  <si>
    <t>Numero dipendenti cui è attribuita l'indennità di specifiche responsabilità ex art. 54 Ccnl 2019-21 al 31.12 dell'anno di rilevazione</t>
  </si>
  <si>
    <t>ORG465</t>
  </si>
  <si>
    <t>Valore unitario medio su base annua dell'indennità di specifiche responsabilità ex art. 54 Ccnl 2019-21 in essere al 31.21.dell'anno di rilevazione (euro)</t>
  </si>
  <si>
    <t>PEO473</t>
  </si>
  <si>
    <t>PRD455</t>
  </si>
  <si>
    <t>Differenziazione del premio individuale - La contrattazione integrativa ha preventivamente definito la limitata quota massima di personale valutato cui attribuire la maggiorazione del premio individuale (S/N)?</t>
  </si>
  <si>
    <t>PRD456</t>
  </si>
  <si>
    <t>PRD457</t>
  </si>
  <si>
    <t>WLF</t>
  </si>
  <si>
    <t>WELFARE INTEGRATIVO</t>
  </si>
  <si>
    <t>WLF466</t>
  </si>
  <si>
    <t>Disponibilità anno di rilevazione per la concessione di benefici di welfare al netto degli eventuali utilizzi del fondo per la contrattazione integrativa (euro)</t>
  </si>
  <si>
    <t>WLF467</t>
  </si>
  <si>
    <t>WLF468</t>
  </si>
  <si>
    <t>WLF469</t>
  </si>
  <si>
    <t>WLF470</t>
  </si>
  <si>
    <t>WLF471</t>
  </si>
  <si>
    <t>Welfare integrativo anno di rilevazione - Iniziative di sostegno al reddito della famiglia effettivamente erogate (euro)</t>
  </si>
  <si>
    <t>Welfare integrativo anno di rilevazione - Supporto all'istruzione e promozione del merito dei figli effettivamente erogate (euro)</t>
  </si>
  <si>
    <t>Welfare integrativo anno di rilevazione - Contributi a favore di attività culturali, ricreative e con finalità sociale effettivamente erogate (euro)</t>
  </si>
  <si>
    <t>Welfare integrativo anno di rilevazione - Prestiti a favore di dipendenti in difficoltà effettivamente erogate (euro)</t>
  </si>
  <si>
    <t>Welfare integrativo anno di rilevazione - Polizze sanitarie integrative effettivamente erogate (euro)</t>
  </si>
  <si>
    <t>Codice
Cat</t>
  </si>
  <si>
    <t>Famiglia Professionale (max 200 caratteri)</t>
  </si>
  <si>
    <t>ELEVATE PROFESSIONALITÀ</t>
  </si>
  <si>
    <t>Personale soggetto a reperibilità (**)</t>
  </si>
  <si>
    <t>Personale soggetto a turnazione (**)</t>
  </si>
  <si>
    <t>Coworking (**)</t>
  </si>
  <si>
    <t>Telelavoro (**)</t>
  </si>
  <si>
    <t>Lavoro Agile (**)</t>
  </si>
  <si>
    <t>Coworking (**)
Personale indicato in T1</t>
  </si>
  <si>
    <t>Telelavoro (**)
Personale indicato in T1</t>
  </si>
  <si>
    <t>Smart working (**)
Personale indicato in T1</t>
  </si>
  <si>
    <t>Il personale a Tempo determinato è cessato il 31/12?</t>
  </si>
  <si>
    <t>Z02</t>
  </si>
  <si>
    <t>LAVORO A DISTANZA</t>
  </si>
  <si>
    <t>LVORO A DISTANZA</t>
  </si>
  <si>
    <t>Personale stabilizzato ex Art. 35, c.3-Bis, DLGS 165/01</t>
  </si>
  <si>
    <t>Personale stabilizzato ex art. 20 D.Lgs.75/2017</t>
  </si>
  <si>
    <t>Dimissioni senza diritto a pensione</t>
  </si>
  <si>
    <t>C28</t>
  </si>
  <si>
    <t>TFAM</t>
  </si>
  <si>
    <t>N U M E R O   DI   D I P E N D E N T I</t>
  </si>
  <si>
    <t>con trattamento economico iniziale</t>
  </si>
  <si>
    <t>con 1 differenziale stipendiale</t>
  </si>
  <si>
    <t>con 2 differenziale stipendiale</t>
  </si>
  <si>
    <t>con 3 differenziale stipendiale</t>
  </si>
  <si>
    <t>con 4 differenziale stipendiale</t>
  </si>
  <si>
    <t>con 5 differenziale stipendiale</t>
  </si>
  <si>
    <t>TOTALE
(Presenti al 31/12/2021)</t>
  </si>
  <si>
    <t>senza differenziali stipendiali</t>
  </si>
  <si>
    <t>Controllo con T1</t>
  </si>
  <si>
    <t>CONTRATTISTI</t>
  </si>
  <si>
    <t>0FZ000</t>
  </si>
  <si>
    <t>0AS000</t>
  </si>
  <si>
    <t>0OP000</t>
  </si>
  <si>
    <t>N. di dipendenti a cui nel corso dell'anno è stato attribuito un nuovo differenziale stipendiale:</t>
  </si>
  <si>
    <t xml:space="preserve">PROGRESSIONI CLASSI E SCATTI/FASCE/DIFFERENZIALI STIPENDIALI  </t>
  </si>
  <si>
    <t>A034</t>
  </si>
  <si>
    <t xml:space="preserve">CONTRATTI DI COLLABORAZIONE PROFESSIONALE </t>
  </si>
  <si>
    <t xml:space="preserve">INCARICHI DI STUDIO/RICERCA/CONSULENZA </t>
  </si>
  <si>
    <t>L111</t>
  </si>
  <si>
    <t>L112</t>
  </si>
  <si>
    <t>Indicare il numero dei contratti di collaborazioni professionali.</t>
  </si>
  <si>
    <t>Quante persone sono state impiegate nell'anno (TEMPO DETER.,COLLABORAZIONI PROFESSIONALI, INCARICHI O ALTRI TIPI DI LAV. FLESSIBILE) il cui costo è totalmente sostenutocon finanziamenti esterni dellU.E. o di privati?</t>
  </si>
  <si>
    <t>Con quante persone sono stati sottoscritti contratti di collaborazioni professionali e incarichi nell’anno con le risorse del PNRR?</t>
  </si>
  <si>
    <t>Personale con contratti di collaborazioni professionali</t>
  </si>
  <si>
    <t>n.</t>
  </si>
  <si>
    <t>con 6 differenziali stipendiali</t>
  </si>
  <si>
    <t>con 7 differenziali stipendiali</t>
  </si>
  <si>
    <t>1E</t>
  </si>
  <si>
    <t>Indicare il numero degli incarichi di studio, ricerca e consulenza.</t>
  </si>
  <si>
    <t>Art 4 c 1 alinea 2 e 3 Ccnl 04-05 - Incrementi</t>
  </si>
  <si>
    <t>Art 18 c 1 Ccnl 06-09 - Incrementi</t>
  </si>
  <si>
    <t>Art 4 c 1 Ccnl 08-09 - Incrementi</t>
  </si>
  <si>
    <t>Art 48 c 1 Ccnl 16-18 - Incrementi</t>
  </si>
  <si>
    <t>F27J</t>
  </si>
  <si>
    <r>
      <t xml:space="preserve">Spec. disp. di legge o reg.ti (art. 48 c. 3 p. 2 Ccnl 16-18) </t>
    </r>
    <r>
      <rPr>
        <vertAlign val="superscript"/>
        <sz val="8"/>
        <rFont val="Arial"/>
        <family val="2"/>
      </rPr>
      <t>(3)</t>
    </r>
  </si>
  <si>
    <t>Art 1 c 604 L 234/2021 - Increm 0,22% m.s. 2018 dal 1.1.2022</t>
  </si>
  <si>
    <t>F24T</t>
  </si>
  <si>
    <t>Somme non utilizzate fondo/i anno precedente</t>
  </si>
  <si>
    <r>
      <rPr>
        <vertAlign val="superscript"/>
        <sz val="8"/>
        <rFont val="Arial"/>
        <family val="2"/>
      </rPr>
      <t xml:space="preserve">(2) </t>
    </r>
    <r>
      <rPr>
        <sz val="8"/>
        <rFont val="Arial"/>
        <family val="2"/>
      </rPr>
      <t>Tale incremento ricomprende gli incrementi di cui al comma 1 del medesimo articolo.</t>
    </r>
  </si>
  <si>
    <t>F27L</t>
  </si>
  <si>
    <r>
      <t xml:space="preserve">Spec. disp. di legge o reg.ti (art. 51 c. 3 p. 2 Ccnl 16-18) </t>
    </r>
    <r>
      <rPr>
        <vertAlign val="superscript"/>
        <sz val="8"/>
        <rFont val="Arial"/>
        <family val="2"/>
      </rPr>
      <t>(3)</t>
    </r>
  </si>
  <si>
    <t>F27P</t>
  </si>
  <si>
    <r>
      <rPr>
        <vertAlign val="superscript"/>
        <sz val="8"/>
        <rFont val="Arial"/>
        <family val="2"/>
      </rPr>
      <t xml:space="preserve">(2) </t>
    </r>
    <r>
      <rPr>
        <sz val="8"/>
        <rFont val="Arial"/>
        <family val="2"/>
      </rPr>
      <t>Tale incremento ricomprende gli incrementi di cui al comma 1 del medesimo articolo</t>
    </r>
  </si>
  <si>
    <t>Art 12 c 1 al 2 Ccnl 04-05 - 0,80% m.s. 2003</t>
  </si>
  <si>
    <t>F27Q</t>
  </si>
  <si>
    <t>Art 49 c 3 Ccnl 19-21 - Increm (in % m.s. 2018, tab D Ccnl)</t>
  </si>
  <si>
    <t>Incentivi funzioni tecniche</t>
  </si>
  <si>
    <t>F24O</t>
  </si>
  <si>
    <t>F24P</t>
  </si>
  <si>
    <t>Art 11 c 1 L B DL 135/18 - Incr acc ass TD deroga fac ass.li</t>
  </si>
  <si>
    <t>F26U</t>
  </si>
  <si>
    <r>
      <t>Art 76 c 4 L c) Ccnl 16-18 - Altre spec. disp. di legge</t>
    </r>
    <r>
      <rPr>
        <vertAlign val="superscript"/>
        <sz val="8"/>
        <rFont val="Arial"/>
        <family val="2"/>
      </rPr>
      <t xml:space="preserve"> (5)</t>
    </r>
  </si>
  <si>
    <r>
      <t>Art 49 c 7 Ccnl 19-21 - Risparmi straordinario anno rif.to</t>
    </r>
    <r>
      <rPr>
        <vertAlign val="superscript"/>
        <sz val="8"/>
        <rFont val="Arial"/>
        <family val="2"/>
      </rPr>
      <t xml:space="preserve"> (6)</t>
    </r>
  </si>
  <si>
    <r>
      <t>Art 49 c 7 Ccnl 19-21 - Risp straord non utiliz anno corr.</t>
    </r>
    <r>
      <rPr>
        <vertAlign val="superscript"/>
        <sz val="8"/>
        <rFont val="Arial"/>
        <family val="2"/>
      </rPr>
      <t xml:space="preserve"> (6)</t>
    </r>
  </si>
  <si>
    <r>
      <rPr>
        <vertAlign val="superscript"/>
        <sz val="8"/>
        <rFont val="Arial"/>
        <family val="2"/>
      </rPr>
      <t xml:space="preserve">(2) </t>
    </r>
    <r>
      <rPr>
        <sz val="8"/>
        <rFont val="Arial"/>
        <family val="2"/>
      </rPr>
      <t>Nota bene: gli incrementi della retribuzione accessoria, in deroga al limite 2016, per le assunzioni a t.d. ai sensi dell’art. 1 del DL n. 80/2021 per l’attuazione di progetti PNRR, vanno indicati nelle risorse variabili alla voce F24O.</t>
    </r>
  </si>
  <si>
    <r>
      <rPr>
        <vertAlign val="superscript"/>
        <sz val="8"/>
        <rFont val="Arial"/>
        <family val="2"/>
      </rPr>
      <t xml:space="preserve">(3) </t>
    </r>
    <r>
      <rPr>
        <sz val="8"/>
        <rFont val="Arial"/>
        <family val="2"/>
      </rPr>
      <t>Indicare l’incremento della retribuzione accessoria, in deroga al limite 2016, per assunzioni a t.d. effettuate ai sensi dell’art.1 del DL n. 80/2021, il cui costo è incluso nel quadro economico del progetto con relativo rimborso a carico</t>
    </r>
  </si>
  <si>
    <t xml:space="preserve">    delle risorse del PNRR.</t>
  </si>
  <si>
    <r>
      <rPr>
        <vertAlign val="superscript"/>
        <sz val="8"/>
        <rFont val="Arial"/>
        <family val="2"/>
      </rPr>
      <t xml:space="preserve">(4) </t>
    </r>
    <r>
      <rPr>
        <sz val="8"/>
        <rFont val="Arial"/>
        <family val="2"/>
      </rPr>
      <t>Ricomprendere in questa voce anche gli incentivi ex art. 113 del DLgs n. 50/2016 di competenza dell’anno di rilevazione.</t>
    </r>
  </si>
  <si>
    <r>
      <rPr>
        <vertAlign val="superscript"/>
        <sz val="8"/>
        <rFont val="Arial"/>
        <family val="2"/>
      </rPr>
      <t xml:space="preserve">(5) </t>
    </r>
    <r>
      <rPr>
        <sz val="8"/>
        <rFont val="Arial"/>
        <family val="2"/>
      </rPr>
      <t>Escluse le poste identificate in voci specifiche separate.</t>
    </r>
  </si>
  <si>
    <r>
      <rPr>
        <vertAlign val="superscript"/>
        <sz val="8"/>
        <rFont val="Arial"/>
        <family val="2"/>
      </rPr>
      <t>(6)</t>
    </r>
    <r>
      <rPr>
        <sz val="8"/>
        <rFont val="Arial"/>
        <family val="2"/>
      </rPr>
      <t xml:space="preserve"> Secondo le indicazioni dell'articolo 49, comma 7 del Ccnl 9 maggio 2022, l'eventuale quota di straordinario non utilizzata nell'anno confluisce nel fondo dell'anno di riferimento, non determinando pertanto, in quanto giroconto</t>
    </r>
  </si>
  <si>
    <t xml:space="preserve">    a saldo neutrale, incrementi soggetti a verifica del limite 2016. Ai fini del corretto funzionamento delle verifiche del limite, risulta quindi necessario decurtare le risorse destinate allo straordinario del medesimo importo (voce F20Z).</t>
  </si>
  <si>
    <t>PRD480</t>
  </si>
  <si>
    <t>Differenziazione della retribuzione di risultato - La contrattazione integrativa ha preventivamente definito la limitata quota massima di personale valutato cui attribuire la maggiorazione (S/N)?</t>
  </si>
  <si>
    <t>PRD481</t>
  </si>
  <si>
    <t>Differenziazione della retribuzione di risultato - Numero dipendenti ai quali è stata erogata la maggiorazione con riferimento a prestazioni rese nell'anno di rilevazione (unità)</t>
  </si>
  <si>
    <t>PRD482</t>
  </si>
  <si>
    <t>Differenziazione della retribuzione di risultato - Valore medio individuale della maggiorazione erogata con riferimento a prestazioni rese nell'anno di rilevazione (euro)</t>
  </si>
  <si>
    <t>PROGRESSIONI ECONOMICHE ALL'INTERNO DELLE AREE A VALERE SUL FONDO DELL'ANNO DI RILEVAZIONE</t>
  </si>
  <si>
    <t>PEO484</t>
  </si>
  <si>
    <t>Numero di anni senza aver beneficiato di progressione economica previsto quale requisito di partecipazione alla procedura selettiva riferita all'anno di rilevazione</t>
  </si>
  <si>
    <t>PEO483</t>
  </si>
  <si>
    <t>Numero dipendenti che hanno i requisiti per partecipare alle progressioni economiche all'interno delle aree a valere sul fondo dell'anno di rilevazione</t>
  </si>
  <si>
    <t>Numero totale delle progressioni economiche all'interno delle aree effettuate a valere sul fondo dell'anno di rilevazione</t>
  </si>
  <si>
    <t>Le progressioni economiche all'interno delle aree dell'anno di rilevazione sono riferite ad un numero limitato di dipendenti (massimo 50% degli aventi diritto) ed operate con carattere di selettività ex art. 23 c. 2 del DLgs 150/2009 (S/N)?</t>
  </si>
  <si>
    <t>Le progressioni economiche all'interno delle aree riferite all'anno di rilevazione hanno rispettato le indicazioni di non retrodatazione oltre il 1 gennaio dell'anno di perfezionamento del contratto integrativo (S/N)?</t>
  </si>
  <si>
    <t>Importo delle risorse destinate alle progressioni economiche all'interno delle aree contrattate e certificate a valere sul fondo dell'anno di rilevazione (euro)</t>
  </si>
  <si>
    <t>L'ente ha rispettato l'indicazione del Ccnl di destinare almeno il 30% di specifiche risorse variabili del fondo dell'anno di rilevazione a performance Individuale (S/N)?</t>
  </si>
  <si>
    <t>Differenziazione del premio individuale - Numero dipendenti ai quali è stata erogata la maggiorazione per le prestazioni rese nell'anno di riferimento (unità)</t>
  </si>
  <si>
    <t>Differenziazione del premio individuale - Valore medio individuale della maggiorazione erogata con riferimento a prestazioni rese nell'anno di rilevazione (euro)</t>
  </si>
  <si>
    <t>Scheda SICI - numero di pos.ni org.ve in essere alla data del 31.12 dell'anno di rilevazione</t>
  </si>
  <si>
    <t>Scheda SICI - valore medio annuo retribuzione di posizione</t>
  </si>
  <si>
    <t>Art 1 DL 80/2021 - Increm. ass TD finanz diretto PNRR</t>
  </si>
  <si>
    <t>Art. 45 DLgs 36/2023 - Incentivi alle funzioni tecniche</t>
  </si>
  <si>
    <t>SQ 5</t>
  </si>
  <si>
    <t>SQ 6</t>
  </si>
  <si>
    <t>SQ 8</t>
  </si>
  <si>
    <t>SQ 9</t>
  </si>
  <si>
    <t>SQ 10</t>
  </si>
  <si>
    <r>
      <t>Art 29 c 2 Ccnl 19-21 - 2,75% m.s. 2018</t>
    </r>
    <r>
      <rPr>
        <vertAlign val="superscript"/>
        <sz val="8"/>
        <rFont val="Arial"/>
        <family val="2"/>
      </rPr>
      <t xml:space="preserve"> (2)</t>
    </r>
  </si>
  <si>
    <r>
      <t>Art 32 c 2 Ccnl 19-21 - 2,57% m.s. 2018</t>
    </r>
    <r>
      <rPr>
        <vertAlign val="superscript"/>
        <sz val="8"/>
        <rFont val="Arial"/>
        <family val="2"/>
      </rPr>
      <t xml:space="preserve"> (2)</t>
    </r>
  </si>
  <si>
    <r>
      <t>Art 61 c 2 Ccnl 19-21 - 2,06% m.s. 2018</t>
    </r>
    <r>
      <rPr>
        <vertAlign val="superscript"/>
        <sz val="8"/>
        <rFont val="Arial"/>
        <family val="2"/>
      </rPr>
      <t xml:space="preserve"> (2)</t>
    </r>
  </si>
  <si>
    <r>
      <t>Art 54 c 2 Ccnl 19-21 - 2,23% m.s. 2018</t>
    </r>
    <r>
      <rPr>
        <vertAlign val="superscript"/>
        <sz val="8"/>
        <rFont val="Arial"/>
        <family val="2"/>
      </rPr>
      <t xml:space="preserve"> (2)</t>
    </r>
  </si>
  <si>
    <r>
      <t xml:space="preserve">Spec. disp. di legge (art. 42 c. 2 L. e Ccnl 98-01) </t>
    </r>
    <r>
      <rPr>
        <vertAlign val="superscript"/>
        <sz val="8"/>
        <rFont val="Arial"/>
        <family val="2"/>
      </rPr>
      <t>(3)</t>
    </r>
  </si>
  <si>
    <r>
      <t>Art 1 DL 80/2021 - Increm. ass TD finanz diretto PNRR</t>
    </r>
    <r>
      <rPr>
        <vertAlign val="superscript"/>
        <sz val="8"/>
        <rFont val="Arial"/>
        <family val="2"/>
      </rPr>
      <t xml:space="preserve"> (3)</t>
    </r>
  </si>
  <si>
    <r>
      <t xml:space="preserve">Art. 45 DLgs 36/2023 - Incentivi alle funzioni tecniche </t>
    </r>
    <r>
      <rPr>
        <vertAlign val="superscript"/>
        <sz val="8"/>
        <rFont val="Arial"/>
        <family val="2"/>
      </rPr>
      <t>(4)</t>
    </r>
  </si>
  <si>
    <t>Art 29 c 2 Ccnl 19-21 - 2,75% m.s. 2018</t>
  </si>
  <si>
    <t>Art 32 c 2 Ccnl 19-21 - 2,57% m.s. 2018</t>
  </si>
  <si>
    <t>Art 61 c 2 Ccnl 19-21 - 2,06% m.s. 2018</t>
  </si>
  <si>
    <t>Art 54 c 2 Ccnl 19-21 - 2,23% m.s. 2018</t>
  </si>
  <si>
    <t>SQUADRATURA 10</t>
  </si>
  <si>
    <t>XX</t>
  </si>
  <si>
    <t>S711</t>
  </si>
  <si>
    <t>INDENNITA' DI SPECIFICHE RESPONSABILITA'</t>
  </si>
  <si>
    <t>qualifica / posiz.economica / profilo</t>
  </si>
  <si>
    <t>M05</t>
  </si>
  <si>
    <t>M06</t>
  </si>
  <si>
    <t>ASSENZE PER MALATTIA RETRIBUITE
SOGGETTE A TRATTENUTA</t>
  </si>
  <si>
    <t>ASSENZE PER MALATTIA RETRIBUITE 
NON
SOGGETTE A TRATTENUTA</t>
  </si>
  <si>
    <t>PROFESSIONISTI II LIVELLO</t>
  </si>
  <si>
    <t>0D0PR2</t>
  </si>
  <si>
    <t>PROFESSIONISTI I LIVELLO</t>
  </si>
  <si>
    <t>0D0PR1</t>
  </si>
  <si>
    <t>55,479,57</t>
  </si>
  <si>
    <t>43,399,17</t>
  </si>
  <si>
    <t>0</t>
  </si>
  <si>
    <t>INCONGRUENZA 17</t>
  </si>
  <si>
    <t>Controllo con T12</t>
  </si>
  <si>
    <t>Controllo con T4</t>
  </si>
  <si>
    <t>Totale</t>
  </si>
  <si>
    <t>Indicare il numero delle unita rilevate in tabella 1 che risultavano titolari di permessi per legge n. 104/92.</t>
  </si>
  <si>
    <t>Indicare il numero delle unita rilevate in tabella 1 che risultavano titolari di permessi ai sensi dell'art. 42, c.5 D.lgs.151/2001.</t>
  </si>
  <si>
    <t>Quante persone sono state assunte nell’anno a tempo determinato (rilevate come uomo/anno nella tabella 2) con le risorse del PNRR?</t>
  </si>
  <si>
    <t>Quante persone sono state assunte nell’anno con altre forme flessibili di lavoro (ex interinali, LSU, formazione lavoro rilevate come uomo/anno nella tabella 2)  con le risorse del PNRR?</t>
  </si>
  <si>
    <t>Art 32 c 1 Ccnl 22-24 - Increm (in % m.s. 2021, tab 7 Ccnl)</t>
  </si>
  <si>
    <t>F32O</t>
  </si>
  <si>
    <t>Altre specifiche disposizioni di legge</t>
  </si>
  <si>
    <t>U00Q</t>
  </si>
  <si>
    <t>WLF529</t>
  </si>
  <si>
    <t>Disponibilità anno di rilevazione per la concessione di benefici di welfare al netto degli eventuali utilizzi a carico del fondo per la retribuzione di posizione e risultato (euro)</t>
  </si>
  <si>
    <t>WLF520</t>
  </si>
  <si>
    <t>Welfare integrativo anno di rilevazione - Prestiti a favore di dipendenti in difficoltà ad accedere ai canali ordinari del credito bancario o che si trovino nella necessità di affrontare spese non differibili effettivamente erogati (euro)</t>
  </si>
  <si>
    <t>WLF521</t>
  </si>
  <si>
    <t>Welfare integrativo anno di rilevazione - Altre categorie di beni e servizi che in base alle vigenti norme fiscali non concorrono a formare reddito di lavoro dipendente effettivamente erogate (euro)</t>
  </si>
  <si>
    <t>PRD541</t>
  </si>
  <si>
    <t>Differenziazione retribuzione di risultato/premio individuale - Nel contratto integrativo sono stati previsti criteri per dirimere eventuali situazioni di ex aequo?</t>
  </si>
  <si>
    <t>PRD542</t>
  </si>
  <si>
    <t>Differenziazione retribuzione di risultato/premio individuale - Se sì, sono stati previsti i criteri meritocratici richiesti dalla norma diversi dalla anzianità di servizio e/o dall’età anagrafica?</t>
  </si>
  <si>
    <t>WLF539</t>
  </si>
  <si>
    <t>Disponibilità anno di rilevazione per la concessione di benefici di welfare al netto degli eventuali utilizzi del fondo dell'Area Medica (euro)</t>
  </si>
  <si>
    <t>WLF540</t>
  </si>
  <si>
    <t>Disponibilità anno di rilevazione per la concessione di benefici di welfare al netto degli eventuali utilizzi del fondo dell'Area dei professionisti (euro)</t>
  </si>
  <si>
    <t>Numero incarichi di posizione organizzativa e/o professionale ex art. 15 Ccnl 2019-21 in essere al 31.12 dell'anno di rilevazione</t>
  </si>
  <si>
    <t>Valore unitario medio su base annua dell'indennità di posizione organizzativa e/o professionale riferita agli incarichi ex art. 15 Ccnl 2019-21 in essere al 31.12 dell'anno di rilevazione (euro)</t>
  </si>
  <si>
    <t>0161 249052</t>
  </si>
  <si>
    <t>segreteria@odcecvercelli.it</t>
  </si>
  <si>
    <t>www.odcecvercelli.it</t>
  </si>
  <si>
    <t>FERRARIS</t>
  </si>
  <si>
    <t>PAOLA</t>
  </si>
  <si>
    <t>PAOLA@STUDIOFERRARIS.VERCELLI.IT</t>
  </si>
  <si>
    <t>BODO</t>
  </si>
  <si>
    <t>ELENA</t>
  </si>
  <si>
    <t>ELENA@STUDIOBODO.IT</t>
  </si>
  <si>
    <t>0161 1895295</t>
  </si>
  <si>
    <t>BOARIN</t>
  </si>
  <si>
    <t>Assistenti amministrativi- economici</t>
  </si>
  <si>
    <t>€ 191,00 IRAP non versata studio Romei, ce la faranno versare con ravvedimento operoso il 16.07.2025)</t>
  </si>
  <si>
    <t>compresi nei € 24537,00</t>
  </si>
  <si>
    <t>IRAP gennaio-aprile 2024 versata con ravvedimento operoso, da maggio a dicembre compresa nei contributi</t>
  </si>
  <si>
    <t>€ 100,00 imposta sostitutiva non iscrivibile nel prospetto</t>
  </si>
  <si>
    <t>costo totale buste paga e contributi. € 1554,00 IRAP 2023 versata nel 2024 con ravvedimento operoso + € 170,00 corsi di formazione del personale dipendende per un totale di € 1724,00. Importo non iscrivibile in nessun rigo del prospetto.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</si>
</sst>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1" formatCode="_-* #,##0_-;\-* #,##0_-;_-* &quot;-&quot;_-;_-@_-"/>
    <numFmt numFmtId="164" formatCode="General_)"/>
    <numFmt numFmtId="165" formatCode="_-&quot;L.&quot;\ * #,##0_-;\-&quot;L.&quot;\ * #,##0_-;_-&quot;L.&quot;\ * &quot;-&quot;_-;_-@_-"/>
    <numFmt numFmtId="166" formatCode="[$€]\ #,##0;[Red]\-[$€]\ #,##0"/>
    <numFmt numFmtId="167" formatCode=";;;"/>
    <numFmt numFmtId="168" formatCode="#,###"/>
    <numFmt numFmtId="169" formatCode="#,##0;\-#,##0;&quot; &quot;"/>
    <numFmt numFmtId="170" formatCode="#,##0.00;\-#,##0.00;&quot; &quot;"/>
    <numFmt numFmtId="171" formatCode="#,###.00;\-#,###.00;;"/>
    <numFmt numFmtId="172" formatCode="#,##0;\-\ #,##0;\-"/>
    <numFmt numFmtId="173" formatCode="#,##0.0;\-\ #,##0.0;\-"/>
    <numFmt numFmtId="174" formatCode="#,##0.00;\-\ #,##0.00;\-"/>
  </numFmts>
  <fonts count="170" x14ac:knownFonts="1">
    <font>
      <sz val="8"/>
      <name val="Helv"/>
    </font>
    <font>
      <sz val="10"/>
      <name val="MS Sans Serif"/>
      <family val="2"/>
    </font>
    <font>
      <b/>
      <sz val="12"/>
      <name val="Arial"/>
      <family val="2"/>
    </font>
    <font>
      <sz val="8"/>
      <name val="Arial"/>
      <family val="2"/>
    </font>
    <font>
      <sz val="9"/>
      <name val="Arial"/>
      <family val="2"/>
    </font>
    <font>
      <b/>
      <sz val="10"/>
      <name val="Arial"/>
      <family val="2"/>
    </font>
    <font>
      <b/>
      <sz val="8"/>
      <name val="Arial"/>
      <family val="2"/>
    </font>
    <font>
      <b/>
      <sz val="18"/>
      <name val="Times New Roman"/>
      <family val="1"/>
    </font>
    <font>
      <u/>
      <sz val="6.4"/>
      <color indexed="12"/>
      <name val="Helv"/>
    </font>
    <font>
      <sz val="11"/>
      <name val="Arial"/>
      <family val="2"/>
    </font>
    <font>
      <b/>
      <i/>
      <sz val="8"/>
      <name val="Arial"/>
      <family val="2"/>
    </font>
    <font>
      <i/>
      <sz val="8"/>
      <name val="Arial"/>
      <family val="2"/>
    </font>
    <font>
      <sz val="8"/>
      <name val="MS Serif"/>
      <family val="1"/>
    </font>
    <font>
      <b/>
      <sz val="8"/>
      <name val="Arial"/>
      <family val="2"/>
    </font>
    <font>
      <sz val="8"/>
      <name val="Arial"/>
      <family val="2"/>
    </font>
    <font>
      <sz val="10"/>
      <name val="Arial"/>
      <family val="2"/>
    </font>
    <font>
      <b/>
      <sz val="6"/>
      <name val="Arial"/>
      <family val="2"/>
    </font>
    <font>
      <b/>
      <sz val="6"/>
      <name val="Arial"/>
      <family val="2"/>
    </font>
    <font>
      <sz val="7"/>
      <name val="MS Serif"/>
      <family val="1"/>
    </font>
    <font>
      <sz val="9"/>
      <name val="Arial"/>
      <family val="2"/>
    </font>
    <font>
      <sz val="6"/>
      <name val="MS Serif"/>
      <family val="1"/>
    </font>
    <font>
      <b/>
      <sz val="7"/>
      <name val="Arial"/>
      <family val="2"/>
    </font>
    <font>
      <b/>
      <sz val="10"/>
      <name val="Arial"/>
      <family val="2"/>
    </font>
    <font>
      <b/>
      <sz val="11"/>
      <name val="Arial"/>
      <family val="2"/>
    </font>
    <font>
      <sz val="10"/>
      <name val="Arial"/>
      <family val="2"/>
    </font>
    <font>
      <sz val="7"/>
      <name val="Arial"/>
      <family val="2"/>
    </font>
    <font>
      <sz val="12"/>
      <name val="Arial"/>
      <family val="2"/>
    </font>
    <font>
      <b/>
      <sz val="12"/>
      <name val="Arial"/>
      <family val="2"/>
    </font>
    <font>
      <b/>
      <sz val="9"/>
      <name val="Arial"/>
      <family val="2"/>
    </font>
    <font>
      <sz val="7"/>
      <name val="Arial"/>
      <family val="2"/>
    </font>
    <font>
      <sz val="8"/>
      <name val="Helv"/>
    </font>
    <font>
      <b/>
      <sz val="8"/>
      <name val="Helv"/>
    </font>
    <font>
      <b/>
      <sz val="6"/>
      <name val="MS Serif"/>
      <family val="1"/>
    </font>
    <font>
      <i/>
      <sz val="9"/>
      <name val="Arial"/>
      <family val="2"/>
    </font>
    <font>
      <sz val="8"/>
      <color indexed="10"/>
      <name val="Arial"/>
      <family val="2"/>
    </font>
    <font>
      <b/>
      <sz val="8"/>
      <color indexed="10"/>
      <name val="Arial"/>
      <family val="2"/>
    </font>
    <font>
      <i/>
      <sz val="8"/>
      <name val="Helv"/>
    </font>
    <font>
      <b/>
      <i/>
      <sz val="12"/>
      <name val="Arial"/>
      <family val="2"/>
    </font>
    <font>
      <b/>
      <i/>
      <sz val="12"/>
      <name val="Helv"/>
    </font>
    <font>
      <sz val="6"/>
      <name val="MS Serif"/>
      <family val="1"/>
    </font>
    <font>
      <b/>
      <i/>
      <sz val="11"/>
      <name val="Arial"/>
      <family val="2"/>
    </font>
    <font>
      <sz val="10"/>
      <name val="Courier"/>
      <family val="3"/>
    </font>
    <font>
      <sz val="15"/>
      <name val="Times New Roman"/>
      <family val="1"/>
    </font>
    <font>
      <sz val="15"/>
      <name val="Arial"/>
      <family val="2"/>
    </font>
    <font>
      <b/>
      <sz val="15"/>
      <name val="Arial"/>
      <family val="2"/>
    </font>
    <font>
      <sz val="14"/>
      <name val="Arial"/>
      <family val="2"/>
    </font>
    <font>
      <sz val="8"/>
      <name val="Times New Roman"/>
      <family val="1"/>
    </font>
    <font>
      <sz val="7.5"/>
      <name val="Arial"/>
      <family val="2"/>
    </font>
    <font>
      <sz val="8"/>
      <name val="Courier"/>
      <family val="3"/>
    </font>
    <font>
      <sz val="10"/>
      <color indexed="10"/>
      <name val="Arial"/>
      <family val="2"/>
    </font>
    <font>
      <i/>
      <sz val="8"/>
      <name val="Arial"/>
      <family val="2"/>
    </font>
    <font>
      <b/>
      <sz val="10"/>
      <name val="Times New Roman"/>
      <family val="1"/>
    </font>
    <font>
      <sz val="7"/>
      <name val="MS Serif"/>
      <family val="1"/>
    </font>
    <font>
      <sz val="12"/>
      <name val="Courier"/>
      <family val="3"/>
    </font>
    <font>
      <b/>
      <sz val="8"/>
      <color indexed="9"/>
      <name val="Helv"/>
    </font>
    <font>
      <sz val="8"/>
      <color indexed="9"/>
      <name val="Helv"/>
    </font>
    <font>
      <sz val="8"/>
      <name val="Helv"/>
    </font>
    <font>
      <b/>
      <sz val="16"/>
      <name val="Arial"/>
      <family val="2"/>
    </font>
    <font>
      <sz val="8.5"/>
      <name val="MS Serif"/>
      <family val="1"/>
    </font>
    <font>
      <b/>
      <sz val="12"/>
      <color indexed="10"/>
      <name val="Arial"/>
      <family val="2"/>
    </font>
    <font>
      <sz val="12"/>
      <name val="Times New Roman"/>
      <family val="1"/>
    </font>
    <font>
      <b/>
      <sz val="9"/>
      <color indexed="10"/>
      <name val="Courier"/>
      <family val="3"/>
    </font>
    <font>
      <b/>
      <i/>
      <sz val="9"/>
      <color indexed="48"/>
      <name val="Courier"/>
      <family val="3"/>
    </font>
    <font>
      <u/>
      <sz val="6.4"/>
      <color indexed="12"/>
      <name val="Arial"/>
      <family val="2"/>
    </font>
    <font>
      <sz val="10"/>
      <color indexed="10"/>
      <name val="Courier"/>
      <family val="3"/>
    </font>
    <font>
      <b/>
      <sz val="10"/>
      <color indexed="10"/>
      <name val="Arial"/>
      <family val="2"/>
    </font>
    <font>
      <b/>
      <sz val="14"/>
      <color indexed="10"/>
      <name val="Arial"/>
      <family val="2"/>
    </font>
    <font>
      <b/>
      <sz val="8"/>
      <color indexed="10"/>
      <name val="Courier"/>
      <family val="3"/>
    </font>
    <font>
      <b/>
      <i/>
      <sz val="13"/>
      <color indexed="8"/>
      <name val="Arial"/>
      <family val="2"/>
    </font>
    <font>
      <b/>
      <sz val="13"/>
      <color indexed="10"/>
      <name val="Arial"/>
      <family val="2"/>
    </font>
    <font>
      <b/>
      <i/>
      <sz val="9"/>
      <name val="Arial"/>
      <family val="2"/>
    </font>
    <font>
      <sz val="8"/>
      <name val="Trebuchet MS"/>
      <family val="2"/>
    </font>
    <font>
      <sz val="8"/>
      <color indexed="8"/>
      <name val="Trebuchet MS"/>
      <family val="2"/>
    </font>
    <font>
      <sz val="8"/>
      <color indexed="9"/>
      <name val="Trebuchet MS"/>
      <family val="2"/>
    </font>
    <font>
      <b/>
      <sz val="8"/>
      <color indexed="52"/>
      <name val="Trebuchet MS"/>
      <family val="2"/>
    </font>
    <font>
      <sz val="8"/>
      <color indexed="52"/>
      <name val="Trebuchet MS"/>
      <family val="2"/>
    </font>
    <font>
      <b/>
      <sz val="8"/>
      <color indexed="9"/>
      <name val="Trebuchet MS"/>
      <family val="2"/>
    </font>
    <font>
      <sz val="8"/>
      <color indexed="62"/>
      <name val="Trebuchet MS"/>
      <family val="2"/>
    </font>
    <font>
      <sz val="8"/>
      <color indexed="60"/>
      <name val="Trebuchet MS"/>
      <family val="2"/>
    </font>
    <font>
      <b/>
      <sz val="8"/>
      <color indexed="63"/>
      <name val="Trebuchet MS"/>
      <family val="2"/>
    </font>
    <font>
      <sz val="10"/>
      <name val="MS Sans Serif"/>
      <family val="2"/>
    </font>
    <font>
      <sz val="8"/>
      <color indexed="10"/>
      <name val="Trebuchet MS"/>
      <family val="2"/>
    </font>
    <font>
      <i/>
      <sz val="8"/>
      <color indexed="23"/>
      <name val="Trebuchet MS"/>
      <family val="2"/>
    </font>
    <font>
      <b/>
      <sz val="18"/>
      <color indexed="56"/>
      <name val="Cambria"/>
      <family val="2"/>
    </font>
    <font>
      <b/>
      <sz val="15"/>
      <color indexed="56"/>
      <name val="Trebuchet MS"/>
      <family val="2"/>
    </font>
    <font>
      <b/>
      <sz val="13"/>
      <color indexed="56"/>
      <name val="Trebuchet MS"/>
      <family val="2"/>
    </font>
    <font>
      <b/>
      <sz val="11"/>
      <color indexed="56"/>
      <name val="Trebuchet MS"/>
      <family val="2"/>
    </font>
    <font>
      <b/>
      <sz val="8"/>
      <color indexed="8"/>
      <name val="Trebuchet MS"/>
      <family val="2"/>
    </font>
    <font>
      <sz val="8"/>
      <color indexed="20"/>
      <name val="Trebuchet MS"/>
      <family val="2"/>
    </font>
    <font>
      <sz val="8"/>
      <color indexed="17"/>
      <name val="Trebuchet MS"/>
      <family val="2"/>
    </font>
    <font>
      <b/>
      <sz val="18"/>
      <color indexed="8"/>
      <name val="Arial"/>
      <family val="2"/>
    </font>
    <font>
      <sz val="11"/>
      <color indexed="10"/>
      <name val="Arial"/>
      <family val="2"/>
    </font>
    <font>
      <b/>
      <sz val="10"/>
      <color indexed="8"/>
      <name val="Arial"/>
      <family val="2"/>
    </font>
    <font>
      <sz val="7"/>
      <name val="Small Fonts"/>
      <family val="2"/>
    </font>
    <font>
      <sz val="7"/>
      <color indexed="30"/>
      <name val="Arial"/>
      <family val="2"/>
    </font>
    <font>
      <sz val="8"/>
      <color indexed="30"/>
      <name val="Arial"/>
      <family val="2"/>
    </font>
    <font>
      <b/>
      <sz val="11"/>
      <color indexed="8"/>
      <name val="Arial"/>
      <family val="2"/>
    </font>
    <font>
      <b/>
      <sz val="6"/>
      <color indexed="8"/>
      <name val="Arial"/>
      <family val="2"/>
    </font>
    <font>
      <i/>
      <sz val="10"/>
      <name val="Arial"/>
      <family val="2"/>
    </font>
    <font>
      <b/>
      <sz val="10"/>
      <color indexed="10"/>
      <name val="Arial"/>
      <family val="2"/>
    </font>
    <font>
      <b/>
      <sz val="9"/>
      <color indexed="48"/>
      <name val="Courier"/>
      <family val="3"/>
    </font>
    <font>
      <u/>
      <sz val="8"/>
      <name val="Helv"/>
    </font>
    <font>
      <u/>
      <sz val="10"/>
      <color indexed="12"/>
      <name val="Arial"/>
      <family val="2"/>
    </font>
    <font>
      <b/>
      <sz val="7"/>
      <name val="Helv"/>
    </font>
    <font>
      <sz val="7"/>
      <name val="Helv"/>
    </font>
    <font>
      <i/>
      <sz val="10"/>
      <name val="MS Serif"/>
      <family val="1"/>
    </font>
    <font>
      <sz val="8"/>
      <name val="Comic Sans MS"/>
      <family val="4"/>
    </font>
    <font>
      <u/>
      <sz val="12"/>
      <name val="Arial"/>
      <family val="2"/>
    </font>
    <font>
      <u/>
      <sz val="13"/>
      <name val="Arial"/>
      <family val="2"/>
    </font>
    <font>
      <u/>
      <sz val="11"/>
      <name val="Arial"/>
      <family val="2"/>
    </font>
    <font>
      <vertAlign val="superscript"/>
      <sz val="8"/>
      <name val="Arial"/>
      <family val="2"/>
    </font>
    <font>
      <vertAlign val="superscript"/>
      <sz val="10"/>
      <name val="Arial"/>
      <family val="2"/>
    </font>
    <font>
      <b/>
      <sz val="18"/>
      <name val="Arial"/>
      <family val="2"/>
    </font>
    <font>
      <b/>
      <sz val="14"/>
      <name val="Arial"/>
      <family val="2"/>
    </font>
    <font>
      <sz val="10"/>
      <color indexed="8"/>
      <name val="Arial"/>
      <family val="2"/>
    </font>
    <font>
      <sz val="8"/>
      <color indexed="8"/>
      <name val="Arial"/>
      <family val="2"/>
    </font>
    <font>
      <b/>
      <i/>
      <sz val="10"/>
      <name val="Arial"/>
      <family val="2"/>
    </font>
    <font>
      <vertAlign val="superscript"/>
      <sz val="8"/>
      <color indexed="8"/>
      <name val="Arial"/>
      <family val="2"/>
    </font>
    <font>
      <b/>
      <sz val="8"/>
      <color indexed="12"/>
      <name val="Arial"/>
      <family val="2"/>
    </font>
    <font>
      <sz val="16"/>
      <name val="Arial"/>
      <family val="2"/>
    </font>
    <font>
      <sz val="12"/>
      <color theme="1"/>
      <name val="Times New Roman"/>
      <family val="2"/>
    </font>
    <font>
      <sz val="11"/>
      <color theme="1"/>
      <name val="Calibri"/>
      <family val="2"/>
      <scheme val="minor"/>
    </font>
    <font>
      <sz val="12"/>
      <color theme="1"/>
      <name val="Calibri"/>
      <family val="2"/>
      <scheme val="minor"/>
    </font>
    <font>
      <b/>
      <sz val="8"/>
      <color rgb="FFFF0000"/>
      <name val="Helv"/>
    </font>
    <font>
      <b/>
      <sz val="12"/>
      <color theme="0"/>
      <name val="Arial"/>
      <family val="2"/>
    </font>
    <font>
      <sz val="8"/>
      <color rgb="FFFF0000"/>
      <name val="Arial"/>
      <family val="2"/>
    </font>
    <font>
      <b/>
      <sz val="10"/>
      <color rgb="FFFF0000"/>
      <name val="Arial"/>
      <family val="2"/>
    </font>
    <font>
      <b/>
      <sz val="8"/>
      <color theme="1"/>
      <name val="Arial"/>
      <family val="2"/>
    </font>
    <font>
      <sz val="12"/>
      <color theme="1"/>
      <name val="Arial"/>
      <family val="2"/>
    </font>
    <font>
      <sz val="10"/>
      <color theme="1"/>
      <name val="Arial"/>
      <family val="2"/>
    </font>
    <font>
      <sz val="11"/>
      <color theme="1"/>
      <name val="Arial"/>
      <family val="2"/>
    </font>
    <font>
      <sz val="9"/>
      <color theme="1"/>
      <name val="Arial"/>
      <family val="2"/>
    </font>
    <font>
      <sz val="8"/>
      <color theme="1"/>
      <name val="Arial"/>
      <family val="2"/>
    </font>
    <font>
      <b/>
      <sz val="12"/>
      <color theme="1"/>
      <name val="Arial"/>
      <family val="2"/>
    </font>
    <font>
      <b/>
      <sz val="10"/>
      <color theme="1"/>
      <name val="Courier"/>
      <family val="3"/>
    </font>
    <font>
      <i/>
      <sz val="10"/>
      <color theme="1"/>
      <name val="Arial"/>
      <family val="2"/>
    </font>
    <font>
      <b/>
      <sz val="9"/>
      <color theme="1"/>
      <name val="Arial"/>
      <family val="2"/>
    </font>
    <font>
      <b/>
      <sz val="12"/>
      <color rgb="FFFF0000"/>
      <name val="Arial"/>
      <family val="2"/>
    </font>
    <font>
      <sz val="10"/>
      <color rgb="FFFF0000"/>
      <name val="Arial"/>
      <family val="2"/>
    </font>
    <font>
      <sz val="10"/>
      <color theme="1"/>
      <name val="Courier"/>
      <family val="3"/>
    </font>
    <font>
      <sz val="12"/>
      <color rgb="FF000099"/>
      <name val="Arial"/>
      <family val="2"/>
    </font>
    <font>
      <sz val="10"/>
      <color theme="0"/>
      <name val="Courier"/>
      <family val="3"/>
    </font>
    <font>
      <sz val="11"/>
      <color rgb="FFFF0000"/>
      <name val="Arial"/>
      <family val="2"/>
    </font>
    <font>
      <b/>
      <sz val="6"/>
      <color rgb="FFFF0000"/>
      <name val="MS Serif"/>
      <family val="1"/>
    </font>
    <font>
      <b/>
      <sz val="12"/>
      <color rgb="FF000099"/>
      <name val="Arial"/>
      <family val="2"/>
    </font>
    <font>
      <sz val="8"/>
      <color theme="0"/>
      <name val="Helv"/>
    </font>
    <font>
      <sz val="10"/>
      <color theme="0"/>
      <name val="Arial"/>
      <family val="2"/>
    </font>
    <font>
      <sz val="12"/>
      <color rgb="FF0000CC"/>
      <name val="Arial"/>
      <family val="2"/>
    </font>
    <font>
      <b/>
      <sz val="11"/>
      <color rgb="FFFF0000"/>
      <name val="Arial"/>
      <family val="2"/>
    </font>
    <font>
      <sz val="18"/>
      <color theme="1"/>
      <name val="Arial"/>
      <family val="2"/>
    </font>
    <font>
      <sz val="16"/>
      <color theme="1"/>
      <name val="Arial"/>
      <family val="2"/>
    </font>
    <font>
      <b/>
      <u/>
      <sz val="13"/>
      <color rgb="FFFF0000"/>
      <name val="Arial"/>
      <family val="2"/>
    </font>
    <font>
      <sz val="9"/>
      <color rgb="FF0000CC"/>
      <name val="Arial"/>
      <family val="2"/>
    </font>
    <font>
      <b/>
      <sz val="12"/>
      <color rgb="FF0000CC"/>
      <name val="Arial"/>
      <family val="2"/>
    </font>
    <font>
      <sz val="12"/>
      <color rgb="FFFF0000"/>
      <name val="Arial"/>
      <family val="2"/>
    </font>
    <font>
      <sz val="10"/>
      <color rgb="FF0000CC"/>
      <name val="Arial"/>
      <family val="2"/>
    </font>
    <font>
      <b/>
      <i/>
      <sz val="12"/>
      <color theme="1"/>
      <name val="Arial"/>
      <family val="2"/>
    </font>
    <font>
      <sz val="8"/>
      <color theme="0"/>
      <name val="Arial"/>
      <family val="2"/>
    </font>
    <font>
      <b/>
      <u/>
      <sz val="12"/>
      <color rgb="FFFF0000"/>
      <name val="Arial"/>
      <family val="2"/>
    </font>
    <font>
      <b/>
      <sz val="10"/>
      <color rgb="FFFF0000"/>
      <name val="Helv"/>
    </font>
    <font>
      <b/>
      <sz val="18"/>
      <color rgb="FFFF0000"/>
      <name val="Times New Roman"/>
      <family val="1"/>
    </font>
    <font>
      <sz val="8"/>
      <color rgb="FFFF0000"/>
      <name val="Helv"/>
    </font>
    <font>
      <sz val="8"/>
      <color theme="0" tint="-4.9989318521683403E-2"/>
      <name val="Arial"/>
      <family val="2"/>
    </font>
    <font>
      <sz val="11"/>
      <name val="Calibri"/>
      <family val="2"/>
      <scheme val="minor"/>
    </font>
    <font>
      <b/>
      <u/>
      <sz val="13"/>
      <name val="Arial"/>
      <family val="2"/>
    </font>
    <font>
      <sz val="10"/>
      <color rgb="FF00B050"/>
      <name val="Arial"/>
      <family val="2"/>
    </font>
    <font>
      <sz val="8"/>
      <color rgb="FF00B050"/>
      <name val="MS Serif"/>
      <family val="1"/>
    </font>
    <font>
      <sz val="8"/>
      <color rgb="FF00B050"/>
      <name val="Arial"/>
      <family val="2"/>
    </font>
    <font>
      <b/>
      <i/>
      <sz val="8"/>
      <color rgb="FF00B050"/>
      <name val="Arial"/>
      <family val="2"/>
    </font>
    <font>
      <sz val="12"/>
      <name val="Times New Roman"/>
      <family val="2"/>
    </font>
  </fonts>
  <fills count="3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22"/>
        <bgColor indexed="64"/>
      </patternFill>
    </fill>
    <fill>
      <patternFill patternType="solid">
        <fgColor indexed="43"/>
        <bgColor indexed="64"/>
      </patternFill>
    </fill>
    <fill>
      <patternFill patternType="gray0625"/>
    </fill>
    <fill>
      <patternFill patternType="gray0625">
        <fgColor indexed="26"/>
        <bgColor indexed="26"/>
      </patternFill>
    </fill>
    <fill>
      <patternFill patternType="solid">
        <fgColor theme="0" tint="-0.14999847407452621"/>
        <bgColor indexed="64"/>
      </patternFill>
    </fill>
    <fill>
      <patternFill patternType="solid">
        <fgColor theme="0" tint="-0.24994659260841701"/>
        <bgColor indexed="64"/>
      </patternFill>
    </fill>
    <fill>
      <patternFill patternType="solid">
        <fgColor theme="9" tint="0.59999389629810485"/>
        <bgColor indexed="64"/>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s>
  <borders count="182">
    <border>
      <left/>
      <right/>
      <top/>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medium">
        <color indexed="64"/>
      </left>
      <right/>
      <top style="medium">
        <color indexed="64"/>
      </top>
      <bottom/>
      <diagonal/>
    </border>
    <border>
      <left style="thin">
        <color indexed="64"/>
      </left>
      <right/>
      <top style="medium">
        <color indexed="64"/>
      </top>
      <bottom/>
      <diagonal/>
    </border>
    <border>
      <left/>
      <right/>
      <top style="medium">
        <color indexed="64"/>
      </top>
      <bottom style="thin">
        <color indexed="64"/>
      </bottom>
      <diagonal/>
    </border>
    <border>
      <left style="thin">
        <color indexed="64"/>
      </left>
      <right style="double">
        <color indexed="64"/>
      </right>
      <top/>
      <bottom style="medium">
        <color indexed="64"/>
      </bottom>
      <diagonal/>
    </border>
    <border>
      <left/>
      <right/>
      <top style="medium">
        <color indexed="64"/>
      </top>
      <bottom style="double">
        <color indexed="64"/>
      </bottom>
      <diagonal/>
    </border>
    <border>
      <left style="medium">
        <color indexed="64"/>
      </left>
      <right/>
      <top/>
      <bottom style="medium">
        <color indexed="64"/>
      </bottom>
      <diagonal/>
    </border>
    <border>
      <left style="double">
        <color indexed="64"/>
      </left>
      <right/>
      <top style="double">
        <color indexed="64"/>
      </top>
      <bottom style="thin">
        <color indexed="64"/>
      </bottom>
      <diagonal/>
    </border>
    <border>
      <left/>
      <right style="double">
        <color indexed="64"/>
      </right>
      <top style="double">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double">
        <color indexed="64"/>
      </top>
      <bottom style="thin">
        <color indexed="64"/>
      </bottom>
      <diagonal/>
    </border>
    <border>
      <left style="medium">
        <color indexed="64"/>
      </left>
      <right/>
      <top/>
      <bottom/>
      <diagonal/>
    </border>
    <border>
      <left style="thin">
        <color indexed="64"/>
      </left>
      <right/>
      <top/>
      <bottom/>
      <diagonal/>
    </border>
    <border>
      <left style="medium">
        <color indexed="64"/>
      </left>
      <right/>
      <top style="double">
        <color indexed="64"/>
      </top>
      <bottom style="medium">
        <color indexed="64"/>
      </bottom>
      <diagonal/>
    </border>
    <border>
      <left style="double">
        <color indexed="64"/>
      </left>
      <right style="double">
        <color indexed="64"/>
      </right>
      <top style="medium">
        <color indexed="64"/>
      </top>
      <bottom/>
      <diagonal/>
    </border>
    <border>
      <left/>
      <right style="double">
        <color indexed="64"/>
      </right>
      <top style="medium">
        <color indexed="64"/>
      </top>
      <bottom/>
      <diagonal/>
    </border>
    <border>
      <left style="thin">
        <color indexed="64"/>
      </left>
      <right style="double">
        <color indexed="64"/>
      </right>
      <top/>
      <bottom style="double">
        <color indexed="64"/>
      </bottom>
      <diagonal/>
    </border>
    <border>
      <left style="double">
        <color indexed="64"/>
      </left>
      <right/>
      <top/>
      <bottom/>
      <diagonal/>
    </border>
    <border>
      <left/>
      <right style="double">
        <color indexed="64"/>
      </right>
      <top/>
      <bottom/>
      <diagonal/>
    </border>
    <border>
      <left style="thin">
        <color indexed="64"/>
      </left>
      <right/>
      <top style="double">
        <color indexed="64"/>
      </top>
      <bottom style="medium">
        <color indexed="64"/>
      </bottom>
      <diagonal/>
    </border>
    <border>
      <left/>
      <right style="medium">
        <color indexed="64"/>
      </right>
      <top style="medium">
        <color indexed="64"/>
      </top>
      <bottom style="thin">
        <color indexed="64"/>
      </bottom>
      <diagonal/>
    </border>
    <border>
      <left style="thin">
        <color indexed="64"/>
      </left>
      <right/>
      <top/>
      <bottom style="double">
        <color indexed="64"/>
      </bottom>
      <diagonal/>
    </border>
    <border>
      <left style="double">
        <color indexed="64"/>
      </left>
      <right/>
      <top/>
      <bottom style="double">
        <color indexed="64"/>
      </bottom>
      <diagonal/>
    </border>
    <border>
      <left/>
      <right style="double">
        <color indexed="64"/>
      </right>
      <top/>
      <bottom style="double">
        <color indexed="64"/>
      </bottom>
      <diagonal/>
    </border>
    <border>
      <left/>
      <right style="medium">
        <color indexed="64"/>
      </right>
      <top/>
      <bottom style="double">
        <color indexed="64"/>
      </bottom>
      <diagonal/>
    </border>
    <border>
      <left style="double">
        <color indexed="64"/>
      </left>
      <right/>
      <top style="double">
        <color indexed="64"/>
      </top>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double">
        <color indexed="64"/>
      </bottom>
      <diagonal/>
    </border>
    <border>
      <left style="medium">
        <color indexed="64"/>
      </left>
      <right/>
      <top style="medium">
        <color indexed="64"/>
      </top>
      <bottom style="double">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style="double">
        <color indexed="64"/>
      </left>
      <right style="double">
        <color indexed="64"/>
      </right>
      <top style="double">
        <color indexed="64"/>
      </top>
      <bottom/>
      <diagonal/>
    </border>
    <border>
      <left/>
      <right style="double">
        <color indexed="64"/>
      </right>
      <top style="double">
        <color indexed="64"/>
      </top>
      <bottom/>
      <diagonal/>
    </border>
    <border>
      <left/>
      <right style="medium">
        <color indexed="64"/>
      </right>
      <top style="double">
        <color indexed="64"/>
      </top>
      <bottom/>
      <diagonal/>
    </border>
    <border>
      <left style="double">
        <color indexed="64"/>
      </left>
      <right style="medium">
        <color indexed="64"/>
      </right>
      <top style="double">
        <color indexed="64"/>
      </top>
      <bottom/>
      <diagonal/>
    </border>
    <border>
      <left style="medium">
        <color indexed="64"/>
      </left>
      <right/>
      <top style="medium">
        <color indexed="64"/>
      </top>
      <bottom style="thin">
        <color indexed="64"/>
      </bottom>
      <diagonal/>
    </border>
    <border>
      <left style="medium">
        <color indexed="64"/>
      </left>
      <right/>
      <top style="double">
        <color indexed="64"/>
      </top>
      <bottom/>
      <diagonal/>
    </border>
    <border>
      <left style="medium">
        <color indexed="64"/>
      </left>
      <right/>
      <top/>
      <bottom style="double">
        <color indexed="64"/>
      </bottom>
      <diagonal/>
    </border>
    <border>
      <left style="thin">
        <color indexed="64"/>
      </left>
      <right style="double">
        <color indexed="64"/>
      </right>
      <top/>
      <bottom style="thin">
        <color indexed="64"/>
      </bottom>
      <diagonal/>
    </border>
    <border>
      <left style="medium">
        <color indexed="64"/>
      </left>
      <right style="thin">
        <color indexed="64"/>
      </right>
      <top style="thin">
        <color indexed="64"/>
      </top>
      <bottom style="thin">
        <color indexed="64"/>
      </bottom>
      <diagonal/>
    </border>
    <border>
      <left/>
      <right style="double">
        <color indexed="64"/>
      </right>
      <top style="double">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double">
        <color indexed="64"/>
      </top>
      <bottom style="medium">
        <color indexed="64"/>
      </bottom>
      <diagonal/>
    </border>
    <border>
      <left/>
      <right/>
      <top style="double">
        <color indexed="64"/>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double">
        <color indexed="64"/>
      </left>
      <right/>
      <top/>
      <bottom style="thin">
        <color indexed="64"/>
      </bottom>
      <diagonal/>
    </border>
    <border>
      <left style="double">
        <color indexed="64"/>
      </left>
      <right style="medium">
        <color indexed="64"/>
      </right>
      <top/>
      <bottom style="thin">
        <color indexed="64"/>
      </bottom>
      <diagonal/>
    </border>
    <border>
      <left style="double">
        <color indexed="64"/>
      </left>
      <right style="thin">
        <color indexed="64"/>
      </right>
      <top/>
      <bottom style="thin">
        <color indexed="64"/>
      </bottom>
      <diagonal/>
    </border>
    <border>
      <left style="double">
        <color indexed="64"/>
      </left>
      <right style="double">
        <color indexed="64"/>
      </right>
      <top/>
      <bottom style="thin">
        <color indexed="64"/>
      </bottom>
      <diagonal/>
    </border>
    <border>
      <left style="double">
        <color indexed="64"/>
      </left>
      <right style="double">
        <color indexed="64"/>
      </right>
      <top style="thin">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right style="medium">
        <color indexed="64"/>
      </right>
      <top style="medium">
        <color indexed="64"/>
      </top>
      <bottom/>
      <diagonal/>
    </border>
    <border>
      <left style="thin">
        <color indexed="64"/>
      </left>
      <right style="double">
        <color indexed="64"/>
      </right>
      <top style="thin">
        <color indexed="64"/>
      </top>
      <bottom style="thin">
        <color indexed="64"/>
      </bottom>
      <diagonal/>
    </border>
    <border>
      <left/>
      <right/>
      <top/>
      <bottom style="thin">
        <color indexed="64"/>
      </bottom>
      <diagonal/>
    </border>
    <border>
      <left style="thin">
        <color indexed="64"/>
      </left>
      <right style="double">
        <color indexed="64"/>
      </right>
      <top style="double">
        <color indexed="64"/>
      </top>
      <bottom style="thin">
        <color indexed="64"/>
      </bottom>
      <diagonal/>
    </border>
    <border>
      <left/>
      <right style="thin">
        <color indexed="64"/>
      </right>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style="thin">
        <color indexed="64"/>
      </top>
      <bottom style="thin">
        <color indexed="64"/>
      </bottom>
      <diagonal/>
    </border>
    <border>
      <left/>
      <right style="double">
        <color indexed="64"/>
      </right>
      <top/>
      <bottom style="thin">
        <color indexed="64"/>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diagonal/>
    </border>
    <border>
      <left/>
      <right/>
      <top style="medium">
        <color indexed="64"/>
      </top>
      <bottom/>
      <diagonal/>
    </border>
    <border>
      <left/>
      <right/>
      <top/>
      <bottom style="double">
        <color indexed="64"/>
      </bottom>
      <diagonal/>
    </border>
    <border>
      <left style="double">
        <color indexed="64"/>
      </left>
      <right style="thin">
        <color indexed="64"/>
      </right>
      <top style="double">
        <color indexed="64"/>
      </top>
      <bottom style="thin">
        <color indexed="64"/>
      </bottom>
      <diagonal/>
    </border>
    <border>
      <left style="medium">
        <color indexed="64"/>
      </left>
      <right style="thin">
        <color indexed="64"/>
      </right>
      <top/>
      <bottom/>
      <diagonal/>
    </border>
    <border>
      <left style="thin">
        <color indexed="64"/>
      </left>
      <right style="medium">
        <color indexed="64"/>
      </right>
      <top style="double">
        <color indexed="64"/>
      </top>
      <bottom style="thin">
        <color indexed="64"/>
      </bottom>
      <diagonal/>
    </border>
    <border>
      <left style="thin">
        <color indexed="64"/>
      </left>
      <right style="medium">
        <color indexed="64"/>
      </right>
      <top/>
      <bottom style="thin">
        <color indexed="64"/>
      </bottom>
      <diagonal/>
    </border>
    <border>
      <left style="double">
        <color indexed="64"/>
      </left>
      <right style="thin">
        <color indexed="64"/>
      </right>
      <top/>
      <bottom style="double">
        <color indexed="64"/>
      </bottom>
      <diagonal/>
    </border>
    <border>
      <left style="double">
        <color indexed="64"/>
      </left>
      <right style="medium">
        <color indexed="64"/>
      </right>
      <top/>
      <bottom style="double">
        <color indexed="64"/>
      </bottom>
      <diagonal/>
    </border>
    <border>
      <left style="thin">
        <color indexed="64"/>
      </left>
      <right style="double">
        <color indexed="64"/>
      </right>
      <top/>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double">
        <color indexed="64"/>
      </bottom>
      <diagonal/>
    </border>
    <border>
      <left style="double">
        <color indexed="64"/>
      </left>
      <right style="medium">
        <color indexed="64"/>
      </right>
      <top/>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double">
        <color indexed="64"/>
      </bottom>
      <diagonal/>
    </border>
    <border>
      <left style="thin">
        <color indexed="64"/>
      </left>
      <right style="double">
        <color indexed="64"/>
      </right>
      <top style="thin">
        <color indexed="64"/>
      </top>
      <bottom/>
      <diagonal/>
    </border>
    <border>
      <left style="thin">
        <color indexed="64"/>
      </left>
      <right style="medium">
        <color indexed="64"/>
      </right>
      <top style="thin">
        <color indexed="64"/>
      </top>
      <bottom/>
      <diagonal/>
    </border>
    <border>
      <left style="double">
        <color indexed="64"/>
      </left>
      <right style="thin">
        <color indexed="64"/>
      </right>
      <top style="double">
        <color indexed="64"/>
      </top>
      <bottom style="medium">
        <color indexed="64"/>
      </bottom>
      <diagonal/>
    </border>
    <border>
      <left style="thin">
        <color indexed="64"/>
      </left>
      <right style="double">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double">
        <color indexed="64"/>
      </left>
      <right style="medium">
        <color indexed="64"/>
      </right>
      <top/>
      <bottom style="medium">
        <color indexed="64"/>
      </bottom>
      <diagonal/>
    </border>
    <border>
      <left style="thin">
        <color indexed="64"/>
      </left>
      <right style="thin">
        <color indexed="64"/>
      </right>
      <top style="double">
        <color indexed="64"/>
      </top>
      <bottom style="medium">
        <color indexed="64"/>
      </bottom>
      <diagonal/>
    </border>
    <border>
      <left/>
      <right style="medium">
        <color indexed="64"/>
      </right>
      <top style="double">
        <color indexed="64"/>
      </top>
      <bottom style="thin">
        <color indexed="64"/>
      </bottom>
      <diagonal/>
    </border>
    <border>
      <left style="double">
        <color indexed="64"/>
      </left>
      <right/>
      <top style="double">
        <color indexed="64"/>
      </top>
      <bottom style="medium">
        <color indexed="64"/>
      </bottom>
      <diagonal/>
    </border>
    <border>
      <left style="double">
        <color indexed="64"/>
      </left>
      <right style="medium">
        <color indexed="64"/>
      </right>
      <top style="double">
        <color indexed="64"/>
      </top>
      <bottom style="medium">
        <color indexed="64"/>
      </bottom>
      <diagonal/>
    </border>
    <border>
      <left/>
      <right/>
      <top/>
      <bottom style="medium">
        <color indexed="64"/>
      </bottom>
      <diagonal/>
    </border>
    <border>
      <left style="double">
        <color indexed="64"/>
      </left>
      <right style="double">
        <color indexed="64"/>
      </right>
      <top/>
      <bottom/>
      <diagonal/>
    </border>
    <border>
      <left style="double">
        <color indexed="64"/>
      </left>
      <right style="double">
        <color indexed="64"/>
      </right>
      <top/>
      <bottom style="double">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right/>
      <top style="double">
        <color indexed="64"/>
      </top>
      <bottom style="medium">
        <color indexed="64"/>
      </bottom>
      <diagonal/>
    </border>
    <border>
      <left/>
      <right/>
      <top style="double">
        <color indexed="64"/>
      </top>
      <bottom style="thin">
        <color indexed="64"/>
      </bottom>
      <diagonal/>
    </border>
    <border>
      <left/>
      <right style="thin">
        <color indexed="64"/>
      </right>
      <top style="double">
        <color indexed="64"/>
      </top>
      <bottom style="medium">
        <color indexed="64"/>
      </bottom>
      <diagonal/>
    </border>
    <border>
      <left style="double">
        <color indexed="64"/>
      </left>
      <right style="thin">
        <color indexed="64"/>
      </right>
      <top style="thick">
        <color indexed="64"/>
      </top>
      <bottom style="thin">
        <color indexed="64"/>
      </bottom>
      <diagonal/>
    </border>
    <border>
      <left style="double">
        <color indexed="64"/>
      </left>
      <right/>
      <top/>
      <bottom style="thick">
        <color indexed="64"/>
      </bottom>
      <diagonal/>
    </border>
    <border>
      <left/>
      <right style="double">
        <color indexed="64"/>
      </right>
      <top/>
      <bottom style="thick">
        <color indexed="64"/>
      </bottom>
      <diagonal/>
    </border>
    <border>
      <left style="thin">
        <color indexed="64"/>
      </left>
      <right style="double">
        <color indexed="64"/>
      </right>
      <top style="thick">
        <color indexed="64"/>
      </top>
      <bottom style="thin">
        <color indexed="64"/>
      </bottom>
      <diagonal/>
    </border>
    <border>
      <left/>
      <right style="medium">
        <color indexed="64"/>
      </right>
      <top style="double">
        <color indexed="64"/>
      </top>
      <bottom style="medium">
        <color indexed="64"/>
      </bottom>
      <diagonal/>
    </border>
    <border>
      <left/>
      <right style="thin">
        <color indexed="64"/>
      </right>
      <top/>
      <bottom/>
      <diagonal/>
    </border>
    <border>
      <left/>
      <right style="thin">
        <color indexed="64"/>
      </right>
      <top/>
      <bottom style="medium">
        <color indexed="64"/>
      </bottom>
      <diagonal/>
    </border>
    <border>
      <left/>
      <right/>
      <top style="thin">
        <color indexed="64"/>
      </top>
      <bottom/>
      <diagonal/>
    </border>
    <border>
      <left/>
      <right style="double">
        <color indexed="64"/>
      </right>
      <top style="thin">
        <color indexed="64"/>
      </top>
      <bottom/>
      <diagonal/>
    </border>
    <border>
      <left style="double">
        <color indexed="64"/>
      </left>
      <right style="thin">
        <color indexed="64"/>
      </right>
      <top style="double">
        <color indexed="64"/>
      </top>
      <bottom/>
      <diagonal/>
    </border>
    <border>
      <left style="double">
        <color indexed="64"/>
      </left>
      <right style="thin">
        <color indexed="64"/>
      </right>
      <top/>
      <bottom/>
      <diagonal/>
    </border>
    <border>
      <left style="thin">
        <color indexed="64"/>
      </left>
      <right style="double">
        <color indexed="64"/>
      </right>
      <top style="thick">
        <color indexed="64"/>
      </top>
      <bottom/>
      <diagonal/>
    </border>
    <border>
      <left style="thin">
        <color indexed="64"/>
      </left>
      <right style="double">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diagonal/>
    </border>
    <border>
      <left style="thin">
        <color indexed="64"/>
      </left>
      <right/>
      <top style="medium">
        <color indexed="64"/>
      </top>
      <bottom style="medium">
        <color indexed="64"/>
      </bottom>
      <diagonal/>
    </border>
    <border>
      <left style="medium">
        <color indexed="64"/>
      </left>
      <right style="double">
        <color indexed="64"/>
      </right>
      <top style="double">
        <color indexed="64"/>
      </top>
      <bottom/>
      <diagonal/>
    </border>
    <border>
      <left/>
      <right/>
      <top style="thin">
        <color indexed="64"/>
      </top>
      <bottom style="medium">
        <color indexed="64"/>
      </bottom>
      <diagonal/>
    </border>
    <border>
      <left/>
      <right style="medium">
        <color indexed="64"/>
      </right>
      <top style="thin">
        <color indexed="64"/>
      </top>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style="medium">
        <color indexed="64"/>
      </left>
      <right style="medium">
        <color indexed="64"/>
      </right>
      <top/>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double">
        <color indexed="64"/>
      </left>
      <right style="double">
        <color indexed="64"/>
      </right>
      <top style="double">
        <color indexed="64"/>
      </top>
      <bottom style="double">
        <color indexed="64"/>
      </bottom>
      <diagonal/>
    </border>
    <border>
      <left style="double">
        <color indexed="64"/>
      </left>
      <right style="double">
        <color indexed="64"/>
      </right>
      <top style="double">
        <color indexed="64"/>
      </top>
      <bottom style="thin">
        <color indexed="64"/>
      </bottom>
      <diagonal/>
    </border>
    <border>
      <left style="double">
        <color indexed="64"/>
      </left>
      <right style="double">
        <color indexed="64"/>
      </right>
      <top style="thin">
        <color indexed="64"/>
      </top>
      <bottom/>
      <diagonal/>
    </border>
    <border>
      <left style="double">
        <color indexed="64"/>
      </left>
      <right style="double">
        <color indexed="64"/>
      </right>
      <top style="thin">
        <color indexed="64"/>
      </top>
      <bottom style="double">
        <color indexed="64"/>
      </bottom>
      <diagonal/>
    </border>
    <border>
      <left style="double">
        <color indexed="64"/>
      </left>
      <right/>
      <top style="medium">
        <color indexed="64"/>
      </top>
      <bottom/>
      <diagonal/>
    </border>
    <border>
      <left style="medium">
        <color indexed="64"/>
      </left>
      <right style="medium">
        <color indexed="64"/>
      </right>
      <top style="thin">
        <color indexed="64"/>
      </top>
      <bottom/>
      <diagonal/>
    </border>
    <border>
      <left style="thin">
        <color indexed="64"/>
      </left>
      <right/>
      <top/>
      <bottom style="medium">
        <color indexed="64"/>
      </bottom>
      <diagonal/>
    </border>
    <border>
      <left style="thin">
        <color indexed="64"/>
      </left>
      <right/>
      <top style="thin">
        <color indexed="64"/>
      </top>
      <bottom style="double">
        <color indexed="64"/>
      </bottom>
      <diagonal/>
    </border>
    <border>
      <left style="medium">
        <color indexed="64"/>
      </left>
      <right style="thin">
        <color indexed="64"/>
      </right>
      <top style="thin">
        <color indexed="64"/>
      </top>
      <bottom style="double">
        <color indexed="64"/>
      </bottom>
      <diagonal/>
    </border>
    <border>
      <left style="thin">
        <color indexed="64"/>
      </left>
      <right style="medium">
        <color indexed="64"/>
      </right>
      <top/>
      <bottom/>
      <diagonal/>
    </border>
    <border>
      <left style="double">
        <color indexed="64"/>
      </left>
      <right/>
      <top style="thin">
        <color indexed="64"/>
      </top>
      <bottom style="double">
        <color indexed="64"/>
      </bottom>
      <diagonal/>
    </border>
    <border>
      <left/>
      <right style="double">
        <color indexed="64"/>
      </right>
      <top style="thin">
        <color indexed="64"/>
      </top>
      <bottom style="double">
        <color indexed="64"/>
      </bottom>
      <diagonal/>
    </border>
    <border>
      <left style="medium">
        <color indexed="64"/>
      </left>
      <right style="medium">
        <color indexed="64"/>
      </right>
      <top/>
      <bottom style="thin">
        <color indexed="64"/>
      </bottom>
      <diagonal/>
    </border>
    <border>
      <left style="medium">
        <color indexed="64"/>
      </left>
      <right style="medium">
        <color indexed="64"/>
      </right>
      <top style="double">
        <color indexed="64"/>
      </top>
      <bottom style="medium">
        <color indexed="64"/>
      </bottom>
      <diagonal/>
    </border>
  </borders>
  <cellStyleXfs count="130">
    <xf numFmtId="0" fontId="0" fillId="0" borderId="0"/>
    <xf numFmtId="0" fontId="72" fillId="2" borderId="0" applyNumberFormat="0" applyBorder="0" applyAlignment="0" applyProtection="0"/>
    <xf numFmtId="0" fontId="72" fillId="2" borderId="0" applyNumberFormat="0" applyBorder="0" applyAlignment="0" applyProtection="0"/>
    <xf numFmtId="0" fontId="72" fillId="3" borderId="0" applyNumberFormat="0" applyBorder="0" applyAlignment="0" applyProtection="0"/>
    <xf numFmtId="0" fontId="72" fillId="3" borderId="0" applyNumberFormat="0" applyBorder="0" applyAlignment="0" applyProtection="0"/>
    <xf numFmtId="0" fontId="72" fillId="4" borderId="0" applyNumberFormat="0" applyBorder="0" applyAlignment="0" applyProtection="0"/>
    <xf numFmtId="0" fontId="72" fillId="4" borderId="0" applyNumberFormat="0" applyBorder="0" applyAlignment="0" applyProtection="0"/>
    <xf numFmtId="0" fontId="72" fillId="5" borderId="0" applyNumberFormat="0" applyBorder="0" applyAlignment="0" applyProtection="0"/>
    <xf numFmtId="0" fontId="72" fillId="5" borderId="0" applyNumberFormat="0" applyBorder="0" applyAlignment="0" applyProtection="0"/>
    <xf numFmtId="0" fontId="72" fillId="6" borderId="0" applyNumberFormat="0" applyBorder="0" applyAlignment="0" applyProtection="0"/>
    <xf numFmtId="0" fontId="72" fillId="6" borderId="0" applyNumberFormat="0" applyBorder="0" applyAlignment="0" applyProtection="0"/>
    <xf numFmtId="0" fontId="72" fillId="7" borderId="0" applyNumberFormat="0" applyBorder="0" applyAlignment="0" applyProtection="0"/>
    <xf numFmtId="0" fontId="72" fillId="7" borderId="0" applyNumberFormat="0" applyBorder="0" applyAlignment="0" applyProtection="0"/>
    <xf numFmtId="0" fontId="72" fillId="8" borderId="0" applyNumberFormat="0" applyBorder="0" applyAlignment="0" applyProtection="0"/>
    <xf numFmtId="0" fontId="72" fillId="8" borderId="0" applyNumberFormat="0" applyBorder="0" applyAlignment="0" applyProtection="0"/>
    <xf numFmtId="0" fontId="72" fillId="9" borderId="0" applyNumberFormat="0" applyBorder="0" applyAlignment="0" applyProtection="0"/>
    <xf numFmtId="0" fontId="72" fillId="9" borderId="0" applyNumberFormat="0" applyBorder="0" applyAlignment="0" applyProtection="0"/>
    <xf numFmtId="0" fontId="72" fillId="10" borderId="0" applyNumberFormat="0" applyBorder="0" applyAlignment="0" applyProtection="0"/>
    <xf numFmtId="0" fontId="72" fillId="10" borderId="0" applyNumberFormat="0" applyBorder="0" applyAlignment="0" applyProtection="0"/>
    <xf numFmtId="0" fontId="72" fillId="5" borderId="0" applyNumberFormat="0" applyBorder="0" applyAlignment="0" applyProtection="0"/>
    <xf numFmtId="0" fontId="72" fillId="5" borderId="0" applyNumberFormat="0" applyBorder="0" applyAlignment="0" applyProtection="0"/>
    <xf numFmtId="0" fontId="72" fillId="8" borderId="0" applyNumberFormat="0" applyBorder="0" applyAlignment="0" applyProtection="0"/>
    <xf numFmtId="0" fontId="72" fillId="8" borderId="0" applyNumberFormat="0" applyBorder="0" applyAlignment="0" applyProtection="0"/>
    <xf numFmtId="0" fontId="72" fillId="11" borderId="0" applyNumberFormat="0" applyBorder="0" applyAlignment="0" applyProtection="0"/>
    <xf numFmtId="0" fontId="72" fillId="11" borderId="0" applyNumberFormat="0" applyBorder="0" applyAlignment="0" applyProtection="0"/>
    <xf numFmtId="0" fontId="73" fillId="12" borderId="0" applyNumberFormat="0" applyBorder="0" applyAlignment="0" applyProtection="0"/>
    <xf numFmtId="0" fontId="73" fillId="12" borderId="0" applyNumberFormat="0" applyBorder="0" applyAlignment="0" applyProtection="0"/>
    <xf numFmtId="0" fontId="73" fillId="9" borderId="0" applyNumberFormat="0" applyBorder="0" applyAlignment="0" applyProtection="0"/>
    <xf numFmtId="0" fontId="73" fillId="9" borderId="0" applyNumberFormat="0" applyBorder="0" applyAlignment="0" applyProtection="0"/>
    <xf numFmtId="0" fontId="73" fillId="10" borderId="0" applyNumberFormat="0" applyBorder="0" applyAlignment="0" applyProtection="0"/>
    <xf numFmtId="0" fontId="73" fillId="10" borderId="0" applyNumberFormat="0" applyBorder="0" applyAlignment="0" applyProtection="0"/>
    <xf numFmtId="0" fontId="73" fillId="13" borderId="0" applyNumberFormat="0" applyBorder="0" applyAlignment="0" applyProtection="0"/>
    <xf numFmtId="0" fontId="73" fillId="13" borderId="0" applyNumberFormat="0" applyBorder="0" applyAlignment="0" applyProtection="0"/>
    <xf numFmtId="0" fontId="73" fillId="14" borderId="0" applyNumberFormat="0" applyBorder="0" applyAlignment="0" applyProtection="0"/>
    <xf numFmtId="0" fontId="73" fillId="14" borderId="0" applyNumberFormat="0" applyBorder="0" applyAlignment="0" applyProtection="0"/>
    <xf numFmtId="0" fontId="73" fillId="15" borderId="0" applyNumberFormat="0" applyBorder="0" applyAlignment="0" applyProtection="0"/>
    <xf numFmtId="0" fontId="73" fillId="15" borderId="0" applyNumberFormat="0" applyBorder="0" applyAlignment="0" applyProtection="0"/>
    <xf numFmtId="0" fontId="74" fillId="16" borderId="1" applyNumberFormat="0" applyAlignment="0" applyProtection="0"/>
    <xf numFmtId="0" fontId="74" fillId="16" borderId="1" applyNumberFormat="0" applyAlignment="0" applyProtection="0"/>
    <xf numFmtId="0" fontId="75" fillId="0" borderId="2" applyNumberFormat="0" applyFill="0" applyAlignment="0" applyProtection="0"/>
    <xf numFmtId="0" fontId="75" fillId="0" borderId="2" applyNumberFormat="0" applyFill="0" applyAlignment="0" applyProtection="0"/>
    <xf numFmtId="0" fontId="76" fillId="17" borderId="3" applyNumberFormat="0" applyAlignment="0" applyProtection="0"/>
    <xf numFmtId="0" fontId="76" fillId="17" borderId="3" applyNumberFormat="0" applyAlignment="0" applyProtection="0"/>
    <xf numFmtId="0" fontId="8" fillId="0" borderId="0" applyNumberFormat="0" applyFill="0" applyBorder="0" applyAlignment="0" applyProtection="0">
      <alignment vertical="top"/>
      <protection locked="0"/>
    </xf>
    <xf numFmtId="0" fontId="73" fillId="18" borderId="0" applyNumberFormat="0" applyBorder="0" applyAlignment="0" applyProtection="0"/>
    <xf numFmtId="0" fontId="73" fillId="18" borderId="0" applyNumberFormat="0" applyBorder="0" applyAlignment="0" applyProtection="0"/>
    <xf numFmtId="0" fontId="73" fillId="19" borderId="0" applyNumberFormat="0" applyBorder="0" applyAlignment="0" applyProtection="0"/>
    <xf numFmtId="0" fontId="73" fillId="19" borderId="0" applyNumberFormat="0" applyBorder="0" applyAlignment="0" applyProtection="0"/>
    <xf numFmtId="0" fontId="73" fillId="20" borderId="0" applyNumberFormat="0" applyBorder="0" applyAlignment="0" applyProtection="0"/>
    <xf numFmtId="0" fontId="73" fillId="20" borderId="0" applyNumberFormat="0" applyBorder="0" applyAlignment="0" applyProtection="0"/>
    <xf numFmtId="0" fontId="73" fillId="13" borderId="0" applyNumberFormat="0" applyBorder="0" applyAlignment="0" applyProtection="0"/>
    <xf numFmtId="0" fontId="73" fillId="13" borderId="0" applyNumberFormat="0" applyBorder="0" applyAlignment="0" applyProtection="0"/>
    <xf numFmtId="0" fontId="73" fillId="14" borderId="0" applyNumberFormat="0" applyBorder="0" applyAlignment="0" applyProtection="0"/>
    <xf numFmtId="0" fontId="73" fillId="14" borderId="0" applyNumberFormat="0" applyBorder="0" applyAlignment="0" applyProtection="0"/>
    <xf numFmtId="0" fontId="73" fillId="21" borderId="0" applyNumberFormat="0" applyBorder="0" applyAlignment="0" applyProtection="0"/>
    <xf numFmtId="0" fontId="73" fillId="21" borderId="0" applyNumberFormat="0" applyBorder="0" applyAlignment="0" applyProtection="0"/>
    <xf numFmtId="166" fontId="30" fillId="0" borderId="0" applyFont="0" applyFill="0" applyBorder="0" applyAlignment="0" applyProtection="0"/>
    <xf numFmtId="0" fontId="77" fillId="7" borderId="1" applyNumberFormat="0" applyAlignment="0" applyProtection="0"/>
    <xf numFmtId="0" fontId="77" fillId="7" borderId="1" applyNumberFormat="0" applyAlignment="0" applyProtection="0"/>
    <xf numFmtId="0" fontId="120" fillId="0" borderId="0" applyNumberFormat="0" applyBorder="0" applyAlignment="0"/>
    <xf numFmtId="40" fontId="1" fillId="0" borderId="0" applyFont="0" applyFill="0" applyBorder="0" applyAlignment="0" applyProtection="0"/>
    <xf numFmtId="41" fontId="60" fillId="0" borderId="0" applyFont="0" applyFill="0" applyBorder="0" applyAlignment="0" applyProtection="0"/>
    <xf numFmtId="40" fontId="1" fillId="0" borderId="0" applyFont="0" applyFill="0" applyBorder="0" applyAlignment="0" applyProtection="0"/>
    <xf numFmtId="40" fontId="1" fillId="0" borderId="0" applyFont="0" applyFill="0" applyBorder="0" applyAlignment="0" applyProtection="0"/>
    <xf numFmtId="40" fontId="1" fillId="0" borderId="0" applyFont="0" applyFill="0" applyBorder="0" applyAlignment="0" applyProtection="0"/>
    <xf numFmtId="40" fontId="1" fillId="0" borderId="0" applyFont="0" applyFill="0" applyBorder="0" applyAlignment="0" applyProtection="0"/>
    <xf numFmtId="40" fontId="1" fillId="0" borderId="0" applyFont="0" applyFill="0" applyBorder="0" applyAlignment="0" applyProtection="0"/>
    <xf numFmtId="0" fontId="78" fillId="22" borderId="0" applyNumberFormat="0" applyBorder="0" applyAlignment="0" applyProtection="0"/>
    <xf numFmtId="0" fontId="78" fillId="22" borderId="0" applyNumberFormat="0" applyBorder="0" applyAlignment="0" applyProtection="0"/>
    <xf numFmtId="0" fontId="114" fillId="0" borderId="0"/>
    <xf numFmtId="0" fontId="30" fillId="0" borderId="0"/>
    <xf numFmtId="0" fontId="106" fillId="0" borderId="0"/>
    <xf numFmtId="0" fontId="30" fillId="0" borderId="0"/>
    <xf numFmtId="0" fontId="30" fillId="0" borderId="0"/>
    <xf numFmtId="0" fontId="15" fillId="0" borderId="0"/>
    <xf numFmtId="0" fontId="121" fillId="0" borderId="0"/>
    <xf numFmtId="0" fontId="120" fillId="0" borderId="0"/>
    <xf numFmtId="0" fontId="121" fillId="0" borderId="0"/>
    <xf numFmtId="0" fontId="121" fillId="0" borderId="0"/>
    <xf numFmtId="0" fontId="30" fillId="0" borderId="0"/>
    <xf numFmtId="0" fontId="120" fillId="0" borderId="0"/>
    <xf numFmtId="0" fontId="30" fillId="0" borderId="0"/>
    <xf numFmtId="0" fontId="106" fillId="0" borderId="0"/>
    <xf numFmtId="0" fontId="15" fillId="0" borderId="0"/>
    <xf numFmtId="0" fontId="122" fillId="0" borderId="0"/>
    <xf numFmtId="0" fontId="120" fillId="0" borderId="0"/>
    <xf numFmtId="0" fontId="30" fillId="0" borderId="0"/>
    <xf numFmtId="0" fontId="30" fillId="0" borderId="0"/>
    <xf numFmtId="0" fontId="30" fillId="0" borderId="0"/>
    <xf numFmtId="0" fontId="72" fillId="0" borderId="0"/>
    <xf numFmtId="164" fontId="41" fillId="0" borderId="0"/>
    <xf numFmtId="0" fontId="41"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72" fillId="23" borderId="4" applyNumberFormat="0" applyFont="0" applyAlignment="0" applyProtection="0"/>
    <xf numFmtId="0" fontId="72" fillId="23" borderId="4" applyNumberFormat="0" applyFont="0" applyAlignment="0" applyProtection="0"/>
    <xf numFmtId="0" fontId="79" fillId="16" borderId="5" applyNumberFormat="0" applyAlignment="0" applyProtection="0"/>
    <xf numFmtId="0" fontId="79" fillId="16" borderId="5" applyNumberFormat="0" applyAlignment="0" applyProtection="0"/>
    <xf numFmtId="9" fontId="1" fillId="0" borderId="0" applyFont="0" applyFill="0" applyBorder="0" applyAlignment="0" applyProtection="0"/>
    <xf numFmtId="9" fontId="8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3" fillId="0" borderId="0" applyNumberFormat="0" applyFill="0" applyBorder="0" applyAlignment="0" applyProtection="0"/>
    <xf numFmtId="0" fontId="84" fillId="0" borderId="6" applyNumberFormat="0" applyFill="0" applyAlignment="0" applyProtection="0"/>
    <xf numFmtId="0" fontId="84" fillId="0" borderId="6" applyNumberFormat="0" applyFill="0" applyAlignment="0" applyProtection="0"/>
    <xf numFmtId="0" fontId="85" fillId="0" borderId="7" applyNumberFormat="0" applyFill="0" applyAlignment="0" applyProtection="0"/>
    <xf numFmtId="0" fontId="85" fillId="0" borderId="7" applyNumberFormat="0" applyFill="0" applyAlignment="0" applyProtection="0"/>
    <xf numFmtId="0" fontId="86" fillId="0" borderId="8" applyNumberFormat="0" applyFill="0" applyAlignment="0" applyProtection="0"/>
    <xf numFmtId="0" fontId="86" fillId="0" borderId="8" applyNumberFormat="0" applyFill="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3" fillId="0" borderId="0" applyNumberFormat="0" applyFill="0" applyBorder="0" applyAlignment="0" applyProtection="0"/>
    <xf numFmtId="0" fontId="87" fillId="0" borderId="9" applyNumberFormat="0" applyFill="0" applyAlignment="0" applyProtection="0"/>
    <xf numFmtId="0" fontId="87" fillId="0" borderId="9" applyNumberFormat="0" applyFill="0" applyAlignment="0" applyProtection="0"/>
    <xf numFmtId="0" fontId="88" fillId="3" borderId="0" applyNumberFormat="0" applyBorder="0" applyAlignment="0" applyProtection="0"/>
    <xf numFmtId="0" fontId="88" fillId="3" borderId="0" applyNumberFormat="0" applyBorder="0" applyAlignment="0" applyProtection="0"/>
    <xf numFmtId="0" fontId="89" fillId="4" borderId="0" applyNumberFormat="0" applyBorder="0" applyAlignment="0" applyProtection="0"/>
    <xf numFmtId="0" fontId="89" fillId="4" borderId="0" applyNumberFormat="0" applyBorder="0" applyAlignment="0" applyProtection="0"/>
    <xf numFmtId="165" fontId="60" fillId="0" borderId="0" applyFont="0" applyFill="0" applyBorder="0" applyAlignment="0" applyProtection="0"/>
    <xf numFmtId="0" fontId="114" fillId="0" borderId="0"/>
    <xf numFmtId="0" fontId="15" fillId="0" borderId="0"/>
  </cellStyleXfs>
  <cellXfs count="1638">
    <xf numFmtId="0" fontId="0" fillId="0" borderId="0" xfId="0"/>
    <xf numFmtId="0" fontId="2" fillId="0" borderId="0" xfId="0" applyFont="1" applyAlignment="1">
      <alignment horizontal="left" vertical="top"/>
    </xf>
    <xf numFmtId="0" fontId="3" fillId="0" borderId="0" xfId="0" applyFont="1" applyAlignment="1">
      <alignment horizontal="center"/>
    </xf>
    <xf numFmtId="0" fontId="3" fillId="0" borderId="0" xfId="0" applyFont="1"/>
    <xf numFmtId="0" fontId="3" fillId="0" borderId="0" xfId="0" applyFont="1" applyAlignment="1">
      <alignment horizontal="left"/>
    </xf>
    <xf numFmtId="0" fontId="4" fillId="0" borderId="0" xfId="0" applyFont="1"/>
    <xf numFmtId="0" fontId="6" fillId="0" borderId="0" xfId="0" applyFont="1" applyAlignment="1">
      <alignment horizontal="right" vertical="center"/>
    </xf>
    <xf numFmtId="0" fontId="3" fillId="0" borderId="10" xfId="0" applyFont="1" applyBorder="1" applyAlignment="1">
      <alignment horizontal="centerContinuous"/>
    </xf>
    <xf numFmtId="0" fontId="3" fillId="0" borderId="11" xfId="0" applyFont="1" applyBorder="1" applyAlignment="1">
      <alignment horizontal="center"/>
    </xf>
    <xf numFmtId="0" fontId="3" fillId="0" borderId="12" xfId="0" applyFont="1" applyBorder="1" applyAlignment="1">
      <alignment horizontal="centerContinuous" vertical="center"/>
    </xf>
    <xf numFmtId="0" fontId="3" fillId="0" borderId="13" xfId="0" applyFont="1" applyBorder="1" applyAlignment="1">
      <alignment horizontal="center"/>
    </xf>
    <xf numFmtId="0" fontId="5" fillId="0" borderId="14" xfId="0" applyFont="1" applyBorder="1" applyAlignment="1">
      <alignment horizontal="centerContinuous" vertical="center"/>
    </xf>
    <xf numFmtId="0" fontId="6" fillId="0" borderId="15" xfId="0" applyFont="1" applyBorder="1" applyAlignment="1">
      <alignment horizontal="right" vertical="center"/>
    </xf>
    <xf numFmtId="0" fontId="13" fillId="0" borderId="16" xfId="0" applyFont="1" applyBorder="1" applyAlignment="1">
      <alignment horizontal="centerContinuous" vertical="center"/>
    </xf>
    <xf numFmtId="0" fontId="13" fillId="0" borderId="17" xfId="0" applyFont="1" applyBorder="1" applyAlignment="1">
      <alignment horizontal="centerContinuous" vertical="center"/>
    </xf>
    <xf numFmtId="0" fontId="13" fillId="0" borderId="16" xfId="0" applyFont="1" applyBorder="1" applyAlignment="1">
      <alignment horizontal="centerContinuous" vertical="center" wrapText="1"/>
    </xf>
    <xf numFmtId="0" fontId="3" fillId="0" borderId="18" xfId="0" applyFont="1" applyBorder="1" applyAlignment="1">
      <alignment horizontal="left"/>
    </xf>
    <xf numFmtId="0" fontId="3" fillId="0" borderId="19" xfId="0" applyFont="1" applyBorder="1" applyAlignment="1">
      <alignment horizontal="left"/>
    </xf>
    <xf numFmtId="0" fontId="14" fillId="0" borderId="0" xfId="0" applyFont="1"/>
    <xf numFmtId="0" fontId="10" fillId="0" borderId="20" xfId="0" applyFont="1" applyBorder="1" applyAlignment="1">
      <alignment horizontal="center" vertical="center"/>
    </xf>
    <xf numFmtId="0" fontId="2" fillId="0" borderId="0" xfId="98" applyFont="1" applyAlignment="1">
      <alignment horizontal="left" vertical="top"/>
    </xf>
    <xf numFmtId="0" fontId="3" fillId="0" borderId="0" xfId="98" applyFont="1" applyAlignment="1">
      <alignment horizontal="center"/>
    </xf>
    <xf numFmtId="0" fontId="3" fillId="0" borderId="0" xfId="98" applyFont="1"/>
    <xf numFmtId="0" fontId="10" fillId="0" borderId="20" xfId="98" applyFont="1" applyBorder="1" applyAlignment="1">
      <alignment horizontal="center" vertical="center"/>
    </xf>
    <xf numFmtId="0" fontId="6" fillId="0" borderId="21" xfId="98" applyFont="1" applyBorder="1" applyAlignment="1">
      <alignment horizontal="center" vertical="center"/>
    </xf>
    <xf numFmtId="0" fontId="6" fillId="0" borderId="22" xfId="98" applyFont="1" applyBorder="1" applyAlignment="1">
      <alignment horizontal="right" vertical="center"/>
    </xf>
    <xf numFmtId="0" fontId="15" fillId="0" borderId="0" xfId="97"/>
    <xf numFmtId="0" fontId="16" fillId="0" borderId="23" xfId="97" applyFont="1" applyBorder="1" applyAlignment="1">
      <alignment horizontal="centerContinuous" vertical="center" wrapText="1"/>
    </xf>
    <xf numFmtId="0" fontId="3" fillId="0" borderId="24" xfId="97" applyFont="1" applyBorder="1" applyAlignment="1">
      <alignment horizontal="centerContinuous" vertical="center" wrapText="1"/>
    </xf>
    <xf numFmtId="0" fontId="6" fillId="0" borderId="25" xfId="97" applyFont="1" applyBorder="1" applyAlignment="1">
      <alignment horizontal="center" vertical="center"/>
    </xf>
    <xf numFmtId="0" fontId="18" fillId="0" borderId="26" xfId="97" applyFont="1" applyBorder="1" applyAlignment="1">
      <alignment horizontal="centerContinuous" vertical="center" wrapText="1"/>
    </xf>
    <xf numFmtId="0" fontId="18" fillId="0" borderId="0" xfId="97" applyFont="1" applyAlignment="1">
      <alignment horizontal="centerContinuous" vertical="center" wrapText="1"/>
    </xf>
    <xf numFmtId="0" fontId="18" fillId="0" borderId="27" xfId="97" applyFont="1" applyBorder="1" applyAlignment="1">
      <alignment horizontal="center" vertical="center" wrapText="1"/>
    </xf>
    <xf numFmtId="0" fontId="18" fillId="0" borderId="27" xfId="97" applyFont="1" applyBorder="1" applyAlignment="1">
      <alignment horizontal="centerContinuous" vertical="center" wrapText="1"/>
    </xf>
    <xf numFmtId="0" fontId="6" fillId="0" borderId="22" xfId="97" applyFont="1" applyBorder="1" applyAlignment="1">
      <alignment horizontal="right" vertical="center"/>
    </xf>
    <xf numFmtId="0" fontId="3" fillId="0" borderId="28" xfId="97" applyFont="1" applyBorder="1" applyAlignment="1">
      <alignment horizontal="center"/>
    </xf>
    <xf numFmtId="0" fontId="3" fillId="0" borderId="0" xfId="96" applyFont="1"/>
    <xf numFmtId="0" fontId="4" fillId="0" borderId="0" xfId="96" applyFont="1"/>
    <xf numFmtId="0" fontId="3" fillId="0" borderId="0" xfId="96" applyFont="1" applyAlignment="1">
      <alignment horizontal="center"/>
    </xf>
    <xf numFmtId="0" fontId="3" fillId="0" borderId="10" xfId="96" applyFont="1" applyBorder="1" applyAlignment="1">
      <alignment horizontal="centerContinuous"/>
    </xf>
    <xf numFmtId="0" fontId="3" fillId="0" borderId="11" xfId="96" applyFont="1" applyBorder="1" applyAlignment="1">
      <alignment horizontal="center"/>
    </xf>
    <xf numFmtId="0" fontId="6" fillId="0" borderId="12" xfId="96" applyFont="1" applyBorder="1" applyAlignment="1">
      <alignment horizontal="centerContinuous" vertical="center"/>
    </xf>
    <xf numFmtId="0" fontId="3" fillId="0" borderId="12" xfId="96" applyFont="1" applyBorder="1" applyAlignment="1">
      <alignment horizontal="centerContinuous" vertical="center"/>
    </xf>
    <xf numFmtId="0" fontId="3" fillId="0" borderId="29" xfId="96" applyFont="1" applyBorder="1" applyAlignment="1">
      <alignment horizontal="centerContinuous" vertical="center"/>
    </xf>
    <xf numFmtId="0" fontId="6" fillId="0" borderId="21" xfId="96" applyFont="1" applyBorder="1" applyAlignment="1">
      <alignment horizontal="center" vertical="center"/>
    </xf>
    <xf numFmtId="0" fontId="3" fillId="0" borderId="30" xfId="96" applyFont="1" applyBorder="1" applyAlignment="1">
      <alignment horizontal="center"/>
    </xf>
    <xf numFmtId="0" fontId="20" fillId="0" borderId="31" xfId="96" applyFont="1" applyBorder="1" applyAlignment="1">
      <alignment horizontal="center"/>
    </xf>
    <xf numFmtId="0" fontId="20" fillId="0" borderId="32" xfId="96" applyFont="1" applyBorder="1" applyAlignment="1">
      <alignment horizontal="center"/>
    </xf>
    <xf numFmtId="0" fontId="20" fillId="0" borderId="33" xfId="96" applyFont="1" applyBorder="1" applyAlignment="1">
      <alignment horizontal="center"/>
    </xf>
    <xf numFmtId="0" fontId="6" fillId="0" borderId="22" xfId="96" applyFont="1" applyBorder="1" applyAlignment="1">
      <alignment horizontal="right" vertical="center"/>
    </xf>
    <xf numFmtId="0" fontId="3" fillId="0" borderId="28" xfId="96" applyFont="1" applyBorder="1" applyAlignment="1">
      <alignment horizontal="center"/>
    </xf>
    <xf numFmtId="0" fontId="3" fillId="0" borderId="0" xfId="95" applyFont="1"/>
    <xf numFmtId="0" fontId="4" fillId="0" borderId="0" xfId="95" applyFont="1"/>
    <xf numFmtId="0" fontId="3" fillId="0" borderId="0" xfId="95" applyFont="1" applyAlignment="1">
      <alignment horizontal="center"/>
    </xf>
    <xf numFmtId="0" fontId="3" fillId="0" borderId="10" xfId="95" applyFont="1" applyBorder="1" applyAlignment="1">
      <alignment horizontal="centerContinuous"/>
    </xf>
    <xf numFmtId="0" fontId="3" fillId="0" borderId="11" xfId="95" applyFont="1" applyBorder="1" applyAlignment="1">
      <alignment horizontal="center"/>
    </xf>
    <xf numFmtId="0" fontId="6" fillId="0" borderId="12" xfId="95" applyFont="1" applyBorder="1" applyAlignment="1">
      <alignment horizontal="centerContinuous" vertical="center"/>
    </xf>
    <xf numFmtId="0" fontId="3" fillId="0" borderId="12" xfId="95" applyFont="1" applyBorder="1" applyAlignment="1">
      <alignment horizontal="centerContinuous" vertical="center"/>
    </xf>
    <xf numFmtId="0" fontId="3" fillId="0" borderId="29" xfId="95" applyFont="1" applyBorder="1" applyAlignment="1">
      <alignment horizontal="centerContinuous" vertical="center"/>
    </xf>
    <xf numFmtId="0" fontId="6" fillId="0" borderId="21" xfId="95" applyFont="1" applyBorder="1" applyAlignment="1">
      <alignment horizontal="center" vertical="center"/>
    </xf>
    <xf numFmtId="0" fontId="6" fillId="0" borderId="34" xfId="95" applyFont="1" applyBorder="1" applyAlignment="1">
      <alignment horizontal="centerContinuous" vertical="center"/>
    </xf>
    <xf numFmtId="0" fontId="3" fillId="0" borderId="30" xfId="95" applyFont="1" applyBorder="1" applyAlignment="1">
      <alignment horizontal="center"/>
    </xf>
    <xf numFmtId="0" fontId="20" fillId="0" borderId="31" xfId="95" applyFont="1" applyBorder="1" applyAlignment="1">
      <alignment horizontal="center"/>
    </xf>
    <xf numFmtId="0" fontId="20" fillId="0" borderId="32" xfId="95" applyFont="1" applyBorder="1" applyAlignment="1">
      <alignment horizontal="center"/>
    </xf>
    <xf numFmtId="0" fontId="20" fillId="0" borderId="33" xfId="95" applyFont="1" applyBorder="1" applyAlignment="1">
      <alignment horizontal="center"/>
    </xf>
    <xf numFmtId="0" fontId="6" fillId="0" borderId="22" xfId="95" applyFont="1" applyBorder="1" applyAlignment="1">
      <alignment horizontal="right" vertical="center"/>
    </xf>
    <xf numFmtId="0" fontId="3" fillId="0" borderId="28" xfId="95" applyFont="1" applyBorder="1" applyAlignment="1">
      <alignment horizontal="center"/>
    </xf>
    <xf numFmtId="0" fontId="2" fillId="0" borderId="0" xfId="94" applyFont="1" applyAlignment="1">
      <alignment horizontal="left" vertical="top"/>
    </xf>
    <xf numFmtId="0" fontId="3" fillId="0" borderId="0" xfId="94" applyFont="1" applyAlignment="1">
      <alignment horizontal="center"/>
    </xf>
    <xf numFmtId="0" fontId="3" fillId="0" borderId="0" xfId="94" applyFont="1"/>
    <xf numFmtId="0" fontId="3" fillId="0" borderId="0" xfId="94" applyFont="1" applyAlignment="1">
      <alignment horizontal="left"/>
    </xf>
    <xf numFmtId="0" fontId="3" fillId="0" borderId="10" xfId="94" applyFont="1" applyBorder="1" applyAlignment="1">
      <alignment horizontal="centerContinuous"/>
    </xf>
    <xf numFmtId="0" fontId="3" fillId="0" borderId="11" xfId="94" applyFont="1" applyBorder="1" applyAlignment="1">
      <alignment horizontal="center"/>
    </xf>
    <xf numFmtId="0" fontId="6" fillId="0" borderId="12" xfId="94" applyFont="1" applyBorder="1" applyAlignment="1">
      <alignment horizontal="centerContinuous" vertical="center"/>
    </xf>
    <xf numFmtId="0" fontId="3" fillId="0" borderId="12" xfId="94" applyFont="1" applyBorder="1" applyAlignment="1">
      <alignment horizontal="centerContinuous" vertical="center"/>
    </xf>
    <xf numFmtId="0" fontId="3" fillId="0" borderId="29" xfId="94" applyFont="1" applyBorder="1" applyAlignment="1">
      <alignment horizontal="centerContinuous" vertical="center"/>
    </xf>
    <xf numFmtId="0" fontId="6" fillId="0" borderId="21" xfId="94" applyFont="1" applyBorder="1" applyAlignment="1">
      <alignment horizontal="center" vertical="center"/>
    </xf>
    <xf numFmtId="0" fontId="3" fillId="0" borderId="30" xfId="94" applyFont="1" applyBorder="1" applyAlignment="1">
      <alignment horizontal="center"/>
    </xf>
    <xf numFmtId="0" fontId="6" fillId="0" borderId="22" xfId="94" applyFont="1" applyBorder="1" applyAlignment="1">
      <alignment horizontal="right" vertical="center"/>
    </xf>
    <xf numFmtId="0" fontId="3" fillId="0" borderId="28" xfId="94" applyFont="1" applyBorder="1" applyAlignment="1">
      <alignment horizontal="center"/>
    </xf>
    <xf numFmtId="0" fontId="3" fillId="0" borderId="0" xfId="93" applyFont="1"/>
    <xf numFmtId="0" fontId="3" fillId="0" borderId="10" xfId="93" applyFont="1" applyBorder="1" applyAlignment="1">
      <alignment horizontal="centerContinuous"/>
    </xf>
    <xf numFmtId="0" fontId="3" fillId="0" borderId="11" xfId="93" applyFont="1" applyBorder="1" applyAlignment="1">
      <alignment horizontal="center"/>
    </xf>
    <xf numFmtId="0" fontId="3" fillId="0" borderId="12" xfId="93" applyFont="1" applyBorder="1" applyAlignment="1">
      <alignment horizontal="centerContinuous" vertical="center"/>
    </xf>
    <xf numFmtId="0" fontId="3" fillId="0" borderId="29" xfId="93" applyFont="1" applyBorder="1" applyAlignment="1">
      <alignment horizontal="centerContinuous" vertical="center"/>
    </xf>
    <xf numFmtId="0" fontId="6" fillId="0" borderId="21" xfId="93" applyFont="1" applyBorder="1" applyAlignment="1">
      <alignment horizontal="center" vertical="center"/>
    </xf>
    <xf numFmtId="0" fontId="3" fillId="0" borderId="30" xfId="93" applyFont="1" applyBorder="1" applyAlignment="1">
      <alignment horizontal="center"/>
    </xf>
    <xf numFmtId="0" fontId="6" fillId="0" borderId="22" xfId="93" applyFont="1" applyBorder="1" applyAlignment="1">
      <alignment horizontal="right" vertical="center"/>
    </xf>
    <xf numFmtId="0" fontId="3" fillId="0" borderId="28" xfId="93" applyFont="1" applyBorder="1" applyAlignment="1">
      <alignment horizontal="center"/>
    </xf>
    <xf numFmtId="0" fontId="3" fillId="0" borderId="0" xfId="93" applyFont="1" applyAlignment="1">
      <alignment horizontal="center"/>
    </xf>
    <xf numFmtId="0" fontId="3" fillId="0" borderId="14" xfId="0" applyFont="1" applyBorder="1" applyAlignment="1">
      <alignment horizontal="centerContinuous" vertical="center"/>
    </xf>
    <xf numFmtId="0" fontId="24" fillId="0" borderId="0" xfId="0" applyFont="1"/>
    <xf numFmtId="0" fontId="3" fillId="0" borderId="35" xfId="0" applyFont="1" applyBorder="1" applyAlignment="1">
      <alignment horizontal="center"/>
    </xf>
    <xf numFmtId="0" fontId="3" fillId="0" borderId="0" xfId="0" applyFont="1" applyAlignment="1">
      <alignment vertical="center"/>
    </xf>
    <xf numFmtId="0" fontId="3" fillId="0" borderId="36" xfId="0" applyFont="1" applyBorder="1" applyAlignment="1">
      <alignment horizontal="centerContinuous" vertical="center"/>
    </xf>
    <xf numFmtId="0" fontId="0" fillId="0" borderId="0" xfId="0" applyAlignment="1">
      <alignment horizontal="center"/>
    </xf>
    <xf numFmtId="0" fontId="5" fillId="0" borderId="0" xfId="0" applyFont="1"/>
    <xf numFmtId="0" fontId="6" fillId="0" borderId="37" xfId="0" applyFont="1" applyBorder="1" applyAlignment="1">
      <alignment horizontal="center" vertical="center"/>
    </xf>
    <xf numFmtId="0" fontId="14" fillId="0" borderId="38" xfId="0" applyFont="1" applyBorder="1" applyAlignment="1">
      <alignment horizontal="justify"/>
    </xf>
    <xf numFmtId="0" fontId="29" fillId="0" borderId="0" xfId="0" applyFont="1"/>
    <xf numFmtId="0" fontId="14" fillId="0" borderId="39" xfId="0" applyFont="1" applyBorder="1" applyAlignment="1">
      <alignment horizontal="justify"/>
    </xf>
    <xf numFmtId="0" fontId="14" fillId="0" borderId="38" xfId="0" applyFont="1" applyBorder="1" applyAlignment="1">
      <alignment horizontal="left"/>
    </xf>
    <xf numFmtId="0" fontId="14" fillId="0" borderId="38" xfId="0" applyFont="1" applyBorder="1" applyAlignment="1">
      <alignment horizontal="justify" wrapText="1"/>
    </xf>
    <xf numFmtId="0" fontId="14" fillId="0" borderId="38" xfId="0" applyFont="1" applyBorder="1" applyAlignment="1">
      <alignment wrapText="1"/>
    </xf>
    <xf numFmtId="0" fontId="6" fillId="0" borderId="40" xfId="0" applyFont="1" applyBorder="1" applyAlignment="1">
      <alignment horizontal="centerContinuous" vertical="center" wrapText="1"/>
    </xf>
    <xf numFmtId="0" fontId="6" fillId="0" borderId="30" xfId="0" applyFont="1" applyBorder="1" applyAlignment="1">
      <alignment horizontal="center" vertical="center"/>
    </xf>
    <xf numFmtId="0" fontId="3" fillId="0" borderId="33" xfId="0" applyFont="1" applyBorder="1" applyAlignment="1">
      <alignment horizontal="centerContinuous" vertical="center"/>
    </xf>
    <xf numFmtId="0" fontId="6" fillId="0" borderId="22" xfId="0" applyFont="1" applyBorder="1" applyAlignment="1">
      <alignment horizontal="right" vertical="center"/>
    </xf>
    <xf numFmtId="0" fontId="3" fillId="0" borderId="28" xfId="0" applyFont="1" applyBorder="1" applyAlignment="1">
      <alignment horizontal="center"/>
    </xf>
    <xf numFmtId="0" fontId="3" fillId="0" borderId="29" xfId="0" applyFont="1" applyBorder="1" applyAlignment="1">
      <alignment horizontal="centerContinuous" vertical="center"/>
    </xf>
    <xf numFmtId="0" fontId="6" fillId="0" borderId="21" xfId="0" applyFont="1" applyBorder="1" applyAlignment="1">
      <alignment horizontal="center" vertical="center"/>
    </xf>
    <xf numFmtId="0" fontId="14" fillId="0" borderId="34" xfId="0" applyFont="1" applyBorder="1" applyAlignment="1">
      <alignment horizontal="centerContinuous" vertical="center" wrapText="1"/>
    </xf>
    <xf numFmtId="0" fontId="6" fillId="0" borderId="12" xfId="0" applyFont="1" applyBorder="1" applyAlignment="1">
      <alignment horizontal="centerContinuous" vertical="center"/>
    </xf>
    <xf numFmtId="0" fontId="6" fillId="0" borderId="41" xfId="0" applyFont="1" applyBorder="1" applyAlignment="1">
      <alignment horizontal="centerContinuous" vertical="center" wrapText="1"/>
    </xf>
    <xf numFmtId="0" fontId="6" fillId="0" borderId="42" xfId="0" applyFont="1" applyBorder="1" applyAlignment="1">
      <alignment horizontal="centerContinuous" vertical="center" wrapText="1"/>
    </xf>
    <xf numFmtId="0" fontId="6" fillId="0" borderId="34" xfId="0" applyFont="1" applyBorder="1" applyAlignment="1">
      <alignment horizontal="centerContinuous" vertical="center" wrapText="1"/>
    </xf>
    <xf numFmtId="0" fontId="6" fillId="0" borderId="43" xfId="0" applyFont="1" applyBorder="1" applyAlignment="1">
      <alignment horizontal="centerContinuous" vertical="center" wrapText="1"/>
    </xf>
    <xf numFmtId="0" fontId="6" fillId="0" borderId="44" xfId="0" applyFont="1" applyBorder="1" applyAlignment="1">
      <alignment horizontal="centerContinuous" vertical="center" wrapText="1"/>
    </xf>
    <xf numFmtId="0" fontId="3" fillId="0" borderId="35" xfId="0" applyFont="1" applyBorder="1" applyAlignment="1">
      <alignment horizontal="left"/>
    </xf>
    <xf numFmtId="0" fontId="6" fillId="0" borderId="43" xfId="95" applyFont="1" applyBorder="1" applyAlignment="1">
      <alignment horizontal="centerContinuous" vertical="center"/>
    </xf>
    <xf numFmtId="0" fontId="14" fillId="0" borderId="39" xfId="0" applyFont="1" applyBorder="1" applyAlignment="1">
      <alignment horizontal="justify" wrapText="1"/>
    </xf>
    <xf numFmtId="0" fontId="13" fillId="24" borderId="45" xfId="93" applyFont="1" applyFill="1" applyBorder="1" applyAlignment="1">
      <alignment horizontal="centerContinuous" vertical="center"/>
    </xf>
    <xf numFmtId="0" fontId="3" fillId="24" borderId="12" xfId="93" applyFont="1" applyFill="1" applyBorder="1" applyAlignment="1">
      <alignment horizontal="centerContinuous" vertical="center"/>
    </xf>
    <xf numFmtId="0" fontId="3" fillId="24" borderId="29" xfId="93" applyFont="1" applyFill="1" applyBorder="1" applyAlignment="1">
      <alignment horizontal="centerContinuous" vertical="center"/>
    </xf>
    <xf numFmtId="0" fontId="21" fillId="24" borderId="46" xfId="93" applyFont="1" applyFill="1" applyBorder="1" applyAlignment="1">
      <alignment horizontal="centerContinuous" vertical="center" wrapText="1"/>
    </xf>
    <xf numFmtId="0" fontId="21" fillId="24" borderId="43" xfId="93" applyFont="1" applyFill="1" applyBorder="1" applyAlignment="1">
      <alignment horizontal="centerContinuous" vertical="center"/>
    </xf>
    <xf numFmtId="0" fontId="21" fillId="24" borderId="43" xfId="94" applyFont="1" applyFill="1" applyBorder="1" applyAlignment="1">
      <alignment horizontal="centerContinuous" vertical="center"/>
    </xf>
    <xf numFmtId="0" fontId="21" fillId="24" borderId="34" xfId="94" applyFont="1" applyFill="1" applyBorder="1" applyAlignment="1">
      <alignment horizontal="centerContinuous" vertical="center"/>
    </xf>
    <xf numFmtId="0" fontId="20" fillId="24" borderId="47" xfId="93" applyFont="1" applyFill="1" applyBorder="1" applyAlignment="1">
      <alignment horizontal="center"/>
    </xf>
    <xf numFmtId="0" fontId="20" fillId="24" borderId="33" xfId="93" applyFont="1" applyFill="1" applyBorder="1" applyAlignment="1">
      <alignment horizontal="center"/>
    </xf>
    <xf numFmtId="0" fontId="20" fillId="24" borderId="31" xfId="93" applyFont="1" applyFill="1" applyBorder="1" applyAlignment="1">
      <alignment horizontal="center"/>
    </xf>
    <xf numFmtId="0" fontId="20" fillId="24" borderId="47" xfId="94" applyFont="1" applyFill="1" applyBorder="1" applyAlignment="1">
      <alignment horizontal="center"/>
    </xf>
    <xf numFmtId="0" fontId="20" fillId="24" borderId="33" xfId="94" applyFont="1" applyFill="1" applyBorder="1" applyAlignment="1">
      <alignment horizontal="center"/>
    </xf>
    <xf numFmtId="0" fontId="20" fillId="24" borderId="31" xfId="94" applyFont="1" applyFill="1" applyBorder="1" applyAlignment="1">
      <alignment horizontal="center"/>
    </xf>
    <xf numFmtId="0" fontId="3" fillId="0" borderId="48" xfId="0" applyFont="1" applyBorder="1" applyAlignment="1">
      <alignment horizontal="center"/>
    </xf>
    <xf numFmtId="0" fontId="3" fillId="0" borderId="49" xfId="0" applyFont="1" applyBorder="1" applyAlignment="1">
      <alignment horizontal="left"/>
    </xf>
    <xf numFmtId="0" fontId="6" fillId="0" borderId="50" xfId="0" applyFont="1" applyBorder="1" applyAlignment="1">
      <alignment horizontal="right" vertical="center"/>
    </xf>
    <xf numFmtId="0" fontId="6" fillId="0" borderId="0" xfId="96" applyFont="1" applyAlignment="1">
      <alignment horizontal="right" vertical="center"/>
    </xf>
    <xf numFmtId="0" fontId="3" fillId="24" borderId="0" xfId="96" applyFont="1" applyFill="1"/>
    <xf numFmtId="0" fontId="24" fillId="0" borderId="51" xfId="0" applyFont="1" applyBorder="1" applyAlignment="1">
      <alignment horizontal="center"/>
    </xf>
    <xf numFmtId="0" fontId="24" fillId="0" borderId="35" xfId="0" applyFont="1" applyBorder="1" applyAlignment="1">
      <alignment horizontal="center"/>
    </xf>
    <xf numFmtId="0" fontId="24" fillId="0" borderId="52" xfId="0" applyFont="1" applyBorder="1" applyAlignment="1">
      <alignment horizontal="center"/>
    </xf>
    <xf numFmtId="0" fontId="3" fillId="0" borderId="0" xfId="0" applyFont="1" applyAlignment="1">
      <alignment textRotation="255"/>
    </xf>
    <xf numFmtId="0" fontId="13" fillId="0" borderId="53" xfId="0" applyFont="1" applyBorder="1" applyAlignment="1">
      <alignment horizontal="right"/>
    </xf>
    <xf numFmtId="0" fontId="6" fillId="0" borderId="54" xfId="96" applyFont="1" applyBorder="1" applyAlignment="1">
      <alignment horizontal="center" vertical="center"/>
    </xf>
    <xf numFmtId="0" fontId="6" fillId="0" borderId="54" xfId="96" applyFont="1" applyBorder="1" applyAlignment="1">
      <alignment vertical="center"/>
    </xf>
    <xf numFmtId="0" fontId="34" fillId="0" borderId="28" xfId="93" applyFont="1" applyBorder="1" applyAlignment="1">
      <alignment horizontal="center"/>
    </xf>
    <xf numFmtId="0" fontId="34" fillId="0" borderId="0" xfId="0" applyFont="1" applyAlignment="1">
      <alignment horizontal="center"/>
    </xf>
    <xf numFmtId="0" fontId="34" fillId="0" borderId="0" xfId="93" applyFont="1" applyAlignment="1">
      <alignment horizontal="center"/>
    </xf>
    <xf numFmtId="0" fontId="35" fillId="0" borderId="0" xfId="0" applyFont="1"/>
    <xf numFmtId="0" fontId="24" fillId="0" borderId="55" xfId="0" applyFont="1" applyBorder="1" applyAlignment="1">
      <alignment horizontal="center"/>
    </xf>
    <xf numFmtId="0" fontId="24" fillId="0" borderId="56" xfId="0" applyFont="1" applyBorder="1" applyAlignment="1">
      <alignment horizontal="center"/>
    </xf>
    <xf numFmtId="0" fontId="24" fillId="0" borderId="57" xfId="0" applyFont="1" applyBorder="1" applyAlignment="1">
      <alignment horizontal="center"/>
    </xf>
    <xf numFmtId="0" fontId="14" fillId="0" borderId="39" xfId="0" applyFont="1" applyBorder="1" applyAlignment="1">
      <alignment wrapText="1"/>
    </xf>
    <xf numFmtId="0" fontId="14" fillId="0" borderId="49" xfId="0" applyFont="1" applyBorder="1" applyAlignment="1">
      <alignment horizontal="justify" wrapText="1"/>
    </xf>
    <xf numFmtId="0" fontId="3" fillId="0" borderId="58" xfId="0" applyFont="1" applyBorder="1" applyAlignment="1">
      <alignment horizontal="center"/>
    </xf>
    <xf numFmtId="0" fontId="13" fillId="0" borderId="35" xfId="0" applyFont="1" applyBorder="1" applyAlignment="1">
      <alignment horizontal="center"/>
    </xf>
    <xf numFmtId="0" fontId="13" fillId="0" borderId="35" xfId="0" applyFont="1" applyBorder="1" applyAlignment="1">
      <alignment horizontal="center" wrapText="1"/>
    </xf>
    <xf numFmtId="0" fontId="3" fillId="0" borderId="35" xfId="0" applyFont="1" applyBorder="1"/>
    <xf numFmtId="0" fontId="10" fillId="0" borderId="35" xfId="0" applyFont="1" applyBorder="1" applyAlignment="1">
      <alignment horizontal="center" vertical="center"/>
    </xf>
    <xf numFmtId="0" fontId="13" fillId="0" borderId="35" xfId="0" applyFont="1" applyBorder="1" applyAlignment="1">
      <alignment horizontal="center" vertical="center"/>
    </xf>
    <xf numFmtId="0" fontId="13" fillId="0" borderId="35" xfId="0" applyFont="1" applyBorder="1" applyAlignment="1">
      <alignment horizontal="center" vertical="center" wrapText="1"/>
    </xf>
    <xf numFmtId="0" fontId="10" fillId="0" borderId="51" xfId="0" applyFont="1" applyBorder="1" applyAlignment="1">
      <alignment horizontal="center" wrapText="1"/>
    </xf>
    <xf numFmtId="0" fontId="11" fillId="0" borderId="35" xfId="0" applyFont="1" applyBorder="1" applyAlignment="1">
      <alignment horizontal="center"/>
    </xf>
    <xf numFmtId="0" fontId="13" fillId="0" borderId="51" xfId="0" applyFont="1" applyBorder="1" applyAlignment="1">
      <alignment horizontal="center" vertical="center" wrapText="1"/>
    </xf>
    <xf numFmtId="0" fontId="22" fillId="0" borderId="35" xfId="0" applyFont="1" applyBorder="1" applyAlignment="1">
      <alignment horizontal="center" wrapText="1"/>
    </xf>
    <xf numFmtId="0" fontId="10" fillId="0" borderId="35" xfId="0" applyFont="1" applyBorder="1" applyAlignment="1">
      <alignment horizontal="center"/>
    </xf>
    <xf numFmtId="0" fontId="10" fillId="0" borderId="35" xfId="0" applyFont="1" applyBorder="1" applyAlignment="1">
      <alignment horizontal="center" wrapText="1"/>
    </xf>
    <xf numFmtId="0" fontId="3" fillId="0" borderId="59" xfId="0" applyFont="1" applyBorder="1" applyAlignment="1">
      <alignment horizontal="center"/>
    </xf>
    <xf numFmtId="0" fontId="11" fillId="0" borderId="35" xfId="0" applyFont="1" applyBorder="1"/>
    <xf numFmtId="0" fontId="11" fillId="0" borderId="0" xfId="0" applyFont="1"/>
    <xf numFmtId="0" fontId="10" fillId="0" borderId="35" xfId="0" applyFont="1" applyBorder="1" applyAlignment="1">
      <alignment horizontal="center" vertical="center" wrapText="1"/>
    </xf>
    <xf numFmtId="0" fontId="3" fillId="0" borderId="0" xfId="0" applyFont="1" applyAlignment="1">
      <alignment horizontal="center" vertical="center" wrapText="1"/>
    </xf>
    <xf numFmtId="0" fontId="23" fillId="0" borderId="0" xfId="0" applyFont="1"/>
    <xf numFmtId="0" fontId="11" fillId="0" borderId="0" xfId="0" applyFont="1" applyAlignment="1">
      <alignment horizontal="center" vertical="center" wrapText="1"/>
    </xf>
    <xf numFmtId="0" fontId="36" fillId="0" borderId="0" xfId="0" applyFont="1" applyAlignment="1">
      <alignment horizontal="center"/>
    </xf>
    <xf numFmtId="0" fontId="36" fillId="0" borderId="0" xfId="0" applyFont="1"/>
    <xf numFmtId="0" fontId="14" fillId="0" borderId="49" xfId="0" applyFont="1" applyBorder="1" applyAlignment="1">
      <alignment horizontal="left"/>
    </xf>
    <xf numFmtId="0" fontId="14" fillId="0" borderId="60" xfId="0" applyFont="1" applyBorder="1" applyAlignment="1">
      <alignment horizontal="left"/>
    </xf>
    <xf numFmtId="3" fontId="13" fillId="0" borderId="61" xfId="0" applyNumberFormat="1" applyFont="1" applyBorder="1" applyAlignment="1">
      <alignment horizontal="center"/>
    </xf>
    <xf numFmtId="3" fontId="13" fillId="0" borderId="62" xfId="0" applyNumberFormat="1" applyFont="1" applyBorder="1" applyAlignment="1">
      <alignment horizontal="center"/>
    </xf>
    <xf numFmtId="3" fontId="3" fillId="24" borderId="35" xfId="0" applyNumberFormat="1" applyFont="1" applyFill="1" applyBorder="1" applyAlignment="1">
      <alignment horizontal="center"/>
    </xf>
    <xf numFmtId="3" fontId="3" fillId="24" borderId="52" xfId="0" applyNumberFormat="1" applyFont="1" applyFill="1" applyBorder="1" applyAlignment="1">
      <alignment horizontal="center"/>
    </xf>
    <xf numFmtId="0" fontId="13" fillId="0" borderId="58" xfId="0" applyFont="1" applyBorder="1" applyAlignment="1">
      <alignment horizontal="center"/>
    </xf>
    <xf numFmtId="0" fontId="13" fillId="0" borderId="63" xfId="0" applyFont="1" applyBorder="1" applyAlignment="1">
      <alignment horizontal="center"/>
    </xf>
    <xf numFmtId="0" fontId="13" fillId="0" borderId="64" xfId="0" applyFont="1" applyBorder="1" applyAlignment="1">
      <alignment horizontal="center"/>
    </xf>
    <xf numFmtId="3" fontId="3" fillId="0" borderId="65" xfId="0" applyNumberFormat="1" applyFont="1" applyBorder="1" applyProtection="1">
      <protection locked="0"/>
    </xf>
    <xf numFmtId="3" fontId="3" fillId="0" borderId="66" xfId="0" applyNumberFormat="1" applyFont="1" applyBorder="1" applyProtection="1">
      <protection locked="0"/>
    </xf>
    <xf numFmtId="4" fontId="3" fillId="0" borderId="65" xfId="0" applyNumberFormat="1" applyFont="1" applyBorder="1" applyProtection="1">
      <protection locked="0"/>
    </xf>
    <xf numFmtId="3" fontId="3" fillId="0" borderId="67" xfId="0" applyNumberFormat="1" applyFont="1" applyBorder="1" applyProtection="1">
      <protection locked="0"/>
    </xf>
    <xf numFmtId="3" fontId="3" fillId="0" borderId="68" xfId="0" applyNumberFormat="1" applyFont="1" applyBorder="1" applyProtection="1">
      <protection locked="0"/>
    </xf>
    <xf numFmtId="3" fontId="15" fillId="0" borderId="70" xfId="0" applyNumberFormat="1" applyFont="1" applyBorder="1" applyProtection="1">
      <protection locked="0"/>
    </xf>
    <xf numFmtId="3" fontId="15" fillId="0" borderId="71" xfId="0" applyNumberFormat="1" applyFont="1" applyBorder="1" applyProtection="1">
      <protection locked="0"/>
    </xf>
    <xf numFmtId="3" fontId="15" fillId="0" borderId="72" xfId="0" applyNumberFormat="1" applyFont="1" applyBorder="1" applyProtection="1">
      <protection locked="0"/>
    </xf>
    <xf numFmtId="3" fontId="15" fillId="0" borderId="73" xfId="0" applyNumberFormat="1" applyFont="1" applyBorder="1" applyProtection="1">
      <protection locked="0"/>
    </xf>
    <xf numFmtId="0" fontId="14" fillId="0" borderId="18" xfId="0" applyFont="1" applyBorder="1" applyAlignment="1">
      <alignment horizontal="justify"/>
    </xf>
    <xf numFmtId="0" fontId="13" fillId="0" borderId="74" xfId="0" applyFont="1" applyBorder="1" applyAlignment="1">
      <alignment horizontal="center" vertical="center" wrapText="1"/>
    </xf>
    <xf numFmtId="0" fontId="13" fillId="0" borderId="75" xfId="0" applyFont="1" applyBorder="1" applyAlignment="1">
      <alignment horizontal="center" vertical="center" wrapText="1"/>
    </xf>
    <xf numFmtId="0" fontId="13" fillId="0" borderId="76" xfId="0" applyFont="1" applyBorder="1" applyAlignment="1">
      <alignment horizontal="center" vertical="center" wrapText="1"/>
    </xf>
    <xf numFmtId="0" fontId="3" fillId="0" borderId="13" xfId="0" applyFont="1" applyBorder="1" applyAlignment="1">
      <alignment horizontal="center" vertical="center"/>
    </xf>
    <xf numFmtId="0" fontId="3" fillId="0" borderId="78" xfId="0" applyFont="1" applyBorder="1" applyAlignment="1">
      <alignment horizontal="center" vertical="center"/>
    </xf>
    <xf numFmtId="0" fontId="3" fillId="0" borderId="79" xfId="0" applyFont="1" applyBorder="1" applyAlignment="1">
      <alignment horizontal="center"/>
    </xf>
    <xf numFmtId="3" fontId="3" fillId="0" borderId="18" xfId="93" applyNumberFormat="1" applyFont="1" applyBorder="1" applyProtection="1">
      <protection locked="0"/>
    </xf>
    <xf numFmtId="3" fontId="3" fillId="0" borderId="80" xfId="93" applyNumberFormat="1" applyFont="1" applyBorder="1" applyProtection="1">
      <protection locked="0"/>
    </xf>
    <xf numFmtId="3" fontId="3" fillId="0" borderId="65" xfId="93" applyNumberFormat="1" applyFont="1" applyBorder="1" applyProtection="1">
      <protection locked="0"/>
    </xf>
    <xf numFmtId="3" fontId="3" fillId="0" borderId="18" xfId="94" applyNumberFormat="1" applyFont="1" applyBorder="1" applyProtection="1">
      <protection locked="0"/>
    </xf>
    <xf numFmtId="3" fontId="3" fillId="0" borderId="80" xfId="94" applyNumberFormat="1" applyFont="1" applyBorder="1" applyProtection="1">
      <protection locked="0"/>
    </xf>
    <xf numFmtId="3" fontId="3" fillId="0" borderId="65" xfId="94" applyNumberFormat="1" applyFont="1" applyBorder="1" applyProtection="1">
      <protection locked="0"/>
    </xf>
    <xf numFmtId="0" fontId="3" fillId="0" borderId="81" xfId="0" applyFont="1" applyBorder="1" applyAlignment="1">
      <alignment horizontal="center"/>
    </xf>
    <xf numFmtId="3" fontId="3" fillId="0" borderId="48" xfId="93" applyNumberFormat="1" applyFont="1" applyBorder="1" applyProtection="1">
      <protection locked="0"/>
    </xf>
    <xf numFmtId="3" fontId="3" fillId="0" borderId="82" xfId="93" applyNumberFormat="1" applyFont="1" applyBorder="1" applyProtection="1">
      <protection locked="0"/>
    </xf>
    <xf numFmtId="3" fontId="3" fillId="0" borderId="84" xfId="93" applyNumberFormat="1" applyFont="1" applyBorder="1" applyProtection="1">
      <protection locked="0"/>
    </xf>
    <xf numFmtId="3" fontId="3" fillId="0" borderId="65" xfId="95" applyNumberFormat="1" applyFont="1" applyBorder="1" applyProtection="1">
      <protection locked="0"/>
    </xf>
    <xf numFmtId="3" fontId="3" fillId="0" borderId="48" xfId="95" applyNumberFormat="1" applyFont="1" applyBorder="1" applyProtection="1">
      <protection locked="0"/>
    </xf>
    <xf numFmtId="3" fontId="3" fillId="0" borderId="80" xfId="95" applyNumberFormat="1" applyFont="1" applyBorder="1" applyProtection="1">
      <protection locked="0"/>
    </xf>
    <xf numFmtId="3" fontId="3" fillId="0" borderId="58" xfId="95" applyNumberFormat="1" applyFont="1" applyBorder="1" applyProtection="1">
      <protection locked="0"/>
    </xf>
    <xf numFmtId="3" fontId="3" fillId="0" borderId="82" xfId="95" applyNumberFormat="1" applyFont="1" applyBorder="1" applyProtection="1">
      <protection locked="0"/>
    </xf>
    <xf numFmtId="3" fontId="3" fillId="0" borderId="17" xfId="95" applyNumberFormat="1" applyFont="1" applyBorder="1" applyProtection="1">
      <protection locked="0"/>
    </xf>
    <xf numFmtId="3" fontId="3" fillId="0" borderId="85" xfId="95" applyNumberFormat="1" applyFont="1" applyBorder="1" applyProtection="1">
      <protection locked="0"/>
    </xf>
    <xf numFmtId="0" fontId="20" fillId="0" borderId="31" xfId="0" applyFont="1" applyBorder="1" applyAlignment="1">
      <alignment horizontal="center"/>
    </xf>
    <xf numFmtId="0" fontId="20" fillId="0" borderId="32" xfId="0" applyFont="1" applyBorder="1" applyAlignment="1">
      <alignment horizontal="center"/>
    </xf>
    <xf numFmtId="0" fontId="25" fillId="0" borderId="89" xfId="0" applyFont="1" applyBorder="1" applyAlignment="1">
      <alignment horizontal="center" textRotation="255" wrapText="1"/>
    </xf>
    <xf numFmtId="0" fontId="25" fillId="0" borderId="90" xfId="0" applyFont="1" applyBorder="1" applyAlignment="1">
      <alignment horizontal="center" textRotation="255" wrapText="1"/>
    </xf>
    <xf numFmtId="0" fontId="25" fillId="0" borderId="90" xfId="0" quotePrefix="1" applyFont="1" applyBorder="1" applyAlignment="1">
      <alignment horizontal="center" textRotation="255" wrapText="1"/>
    </xf>
    <xf numFmtId="3" fontId="3" fillId="0" borderId="82" xfId="0" applyNumberFormat="1" applyFont="1" applyBorder="1" applyProtection="1">
      <protection locked="0"/>
    </xf>
    <xf numFmtId="3" fontId="3" fillId="0" borderId="51" xfId="0" applyNumberFormat="1" applyFont="1" applyBorder="1" applyProtection="1">
      <protection locked="0"/>
    </xf>
    <xf numFmtId="3" fontId="3" fillId="0" borderId="48" xfId="0" applyNumberFormat="1" applyFont="1" applyBorder="1" applyProtection="1">
      <protection locked="0"/>
    </xf>
    <xf numFmtId="3" fontId="3" fillId="0" borderId="84" xfId="0" applyNumberFormat="1" applyFont="1" applyBorder="1" applyProtection="1">
      <protection locked="0"/>
    </xf>
    <xf numFmtId="3" fontId="3" fillId="0" borderId="35" xfId="0" applyNumberFormat="1" applyFont="1" applyBorder="1" applyProtection="1">
      <protection locked="0"/>
    </xf>
    <xf numFmtId="3" fontId="3" fillId="0" borderId="59" xfId="0" applyNumberFormat="1" applyFont="1" applyBorder="1" applyProtection="1">
      <protection locked="0"/>
    </xf>
    <xf numFmtId="3" fontId="3" fillId="0" borderId="91" xfId="0" applyNumberFormat="1" applyFont="1" applyBorder="1" applyProtection="1">
      <protection locked="0"/>
    </xf>
    <xf numFmtId="3" fontId="3" fillId="0" borderId="56" xfId="0" applyNumberFormat="1" applyFont="1" applyBorder="1" applyProtection="1">
      <protection locked="0"/>
    </xf>
    <xf numFmtId="3" fontId="3" fillId="0" borderId="65" xfId="96" applyNumberFormat="1" applyFont="1" applyBorder="1" applyProtection="1">
      <protection locked="0"/>
    </xf>
    <xf numFmtId="3" fontId="3" fillId="0" borderId="48" xfId="96" applyNumberFormat="1" applyFont="1" applyBorder="1" applyProtection="1">
      <protection locked="0"/>
    </xf>
    <xf numFmtId="3" fontId="3" fillId="0" borderId="80" xfId="96" applyNumberFormat="1" applyFont="1" applyBorder="1" applyProtection="1">
      <protection locked="0"/>
    </xf>
    <xf numFmtId="3" fontId="3" fillId="0" borderId="58" xfId="96" applyNumberFormat="1" applyFont="1" applyBorder="1" applyProtection="1">
      <protection locked="0"/>
    </xf>
    <xf numFmtId="3" fontId="3" fillId="0" borderId="82" xfId="96" applyNumberFormat="1" applyFont="1" applyBorder="1" applyProtection="1">
      <protection locked="0"/>
    </xf>
    <xf numFmtId="3" fontId="3" fillId="0" borderId="81" xfId="96" applyNumberFormat="1" applyFont="1" applyBorder="1" applyProtection="1">
      <protection locked="0"/>
    </xf>
    <xf numFmtId="0" fontId="13" fillId="0" borderId="11" xfId="97" applyFont="1" applyBorder="1" applyAlignment="1">
      <alignment horizontal="center"/>
    </xf>
    <xf numFmtId="0" fontId="6" fillId="0" borderId="92" xfId="0" applyFont="1" applyBorder="1" applyAlignment="1">
      <alignment horizontal="centerContinuous" vertical="center"/>
    </xf>
    <xf numFmtId="0" fontId="6" fillId="0" borderId="27" xfId="0" applyFont="1" applyBorder="1" applyAlignment="1">
      <alignment horizontal="centerContinuous" vertical="center" wrapText="1"/>
    </xf>
    <xf numFmtId="0" fontId="39" fillId="0" borderId="32" xfId="0" applyFont="1" applyBorder="1"/>
    <xf numFmtId="0" fontId="39" fillId="0" borderId="31" xfId="0" applyFont="1" applyBorder="1" applyAlignment="1">
      <alignment horizontal="center"/>
    </xf>
    <xf numFmtId="0" fontId="39" fillId="0" borderId="32" xfId="0" applyFont="1" applyBorder="1" applyAlignment="1">
      <alignment horizontal="center"/>
    </xf>
    <xf numFmtId="0" fontId="39" fillId="0" borderId="33" xfId="0" applyFont="1" applyBorder="1" applyAlignment="1">
      <alignment horizontal="center"/>
    </xf>
    <xf numFmtId="0" fontId="39" fillId="0" borderId="93" xfId="0" applyFont="1" applyBorder="1" applyAlignment="1">
      <alignment horizontal="center"/>
    </xf>
    <xf numFmtId="0" fontId="39" fillId="0" borderId="0" xfId="0" applyFont="1"/>
    <xf numFmtId="0" fontId="3" fillId="0" borderId="14" xfId="0" applyFont="1" applyBorder="1"/>
    <xf numFmtId="0" fontId="3" fillId="0" borderId="36" xfId="0" applyFont="1" applyBorder="1"/>
    <xf numFmtId="3" fontId="3" fillId="0" borderId="94" xfId="98" applyNumberFormat="1" applyFont="1" applyBorder="1" applyProtection="1">
      <protection locked="0"/>
    </xf>
    <xf numFmtId="3" fontId="3" fillId="0" borderId="81" xfId="98" applyNumberFormat="1" applyFont="1" applyBorder="1" applyProtection="1">
      <protection locked="0"/>
    </xf>
    <xf numFmtId="3" fontId="3" fillId="0" borderId="84" xfId="98" applyNumberFormat="1" applyFont="1" applyBorder="1" applyProtection="1">
      <protection locked="0"/>
    </xf>
    <xf numFmtId="3" fontId="3" fillId="0" borderId="79" xfId="98" applyNumberFormat="1" applyFont="1" applyBorder="1" applyProtection="1">
      <protection locked="0"/>
    </xf>
    <xf numFmtId="0" fontId="18" fillId="0" borderId="83" xfId="98" applyFont="1" applyBorder="1" applyAlignment="1">
      <alignment horizontal="centerContinuous" vertical="center"/>
    </xf>
    <xf numFmtId="0" fontId="10" fillId="0" borderId="10" xfId="97" applyFont="1" applyBorder="1" applyAlignment="1">
      <alignment horizontal="centerContinuous"/>
    </xf>
    <xf numFmtId="0" fontId="10" fillId="0" borderId="95" xfId="96" applyFont="1" applyBorder="1" applyAlignment="1">
      <alignment horizontal="center" vertical="center"/>
    </xf>
    <xf numFmtId="0" fontId="10" fillId="0" borderId="95" xfId="95" applyFont="1" applyBorder="1" applyAlignment="1">
      <alignment horizontal="center" vertical="center"/>
    </xf>
    <xf numFmtId="0" fontId="10" fillId="0" borderId="95" xfId="94" applyFont="1" applyBorder="1" applyAlignment="1">
      <alignment horizontal="center" vertical="center"/>
    </xf>
    <xf numFmtId="0" fontId="10" fillId="0" borderId="95" xfId="93" applyFont="1" applyBorder="1" applyAlignment="1">
      <alignment horizontal="center" vertical="center"/>
    </xf>
    <xf numFmtId="0" fontId="10" fillId="0" borderId="21" xfId="93" applyFont="1" applyBorder="1" applyAlignment="1">
      <alignment horizontal="center" vertical="center"/>
    </xf>
    <xf numFmtId="0" fontId="11" fillId="0" borderId="30" xfId="93" applyFont="1" applyBorder="1" applyAlignment="1">
      <alignment horizontal="center"/>
    </xf>
    <xf numFmtId="0" fontId="11" fillId="0" borderId="96" xfId="0" applyFont="1" applyBorder="1" applyAlignment="1">
      <alignment horizontal="center"/>
    </xf>
    <xf numFmtId="0" fontId="11" fillId="0" borderId="97" xfId="0" applyFont="1" applyBorder="1" applyAlignment="1">
      <alignment horizontal="center"/>
    </xf>
    <xf numFmtId="0" fontId="39" fillId="0" borderId="47" xfId="98" applyFont="1" applyBorder="1" applyAlignment="1">
      <alignment horizontal="centerContinuous"/>
    </xf>
    <xf numFmtId="0" fontId="39" fillId="0" borderId="98" xfId="98" applyFont="1" applyBorder="1" applyAlignment="1">
      <alignment horizontal="center"/>
    </xf>
    <xf numFmtId="0" fontId="39" fillId="0" borderId="25" xfId="98" applyFont="1" applyBorder="1" applyAlignment="1">
      <alignment horizontal="center"/>
    </xf>
    <xf numFmtId="0" fontId="39" fillId="0" borderId="0" xfId="98" applyFont="1"/>
    <xf numFmtId="0" fontId="39" fillId="0" borderId="30" xfId="0" applyFont="1" applyBorder="1" applyAlignment="1">
      <alignment horizontal="center"/>
    </xf>
    <xf numFmtId="0" fontId="32" fillId="0" borderId="31" xfId="0" applyFont="1" applyBorder="1" applyAlignment="1">
      <alignment horizontal="center"/>
    </xf>
    <xf numFmtId="0" fontId="32" fillId="0" borderId="99" xfId="0" applyFont="1" applyBorder="1" applyAlignment="1">
      <alignment horizontal="center"/>
    </xf>
    <xf numFmtId="0" fontId="10" fillId="0" borderId="20" xfId="0" applyFont="1" applyBorder="1" applyAlignment="1">
      <alignment horizontal="centerContinuous"/>
    </xf>
    <xf numFmtId="0" fontId="13" fillId="0" borderId="100" xfId="0" applyFont="1" applyBorder="1" applyAlignment="1">
      <alignment horizontal="center"/>
    </xf>
    <xf numFmtId="0" fontId="6" fillId="0" borderId="101" xfId="0" applyFont="1" applyBorder="1" applyAlignment="1">
      <alignment horizontal="center" vertical="center"/>
    </xf>
    <xf numFmtId="0" fontId="13" fillId="0" borderId="102" xfId="0" applyFont="1" applyBorder="1" applyAlignment="1">
      <alignment horizontal="centerContinuous" vertical="center" wrapText="1"/>
    </xf>
    <xf numFmtId="0" fontId="2" fillId="0" borderId="103" xfId="98" applyFont="1" applyBorder="1" applyAlignment="1">
      <alignment horizontal="left" vertical="top"/>
    </xf>
    <xf numFmtId="0" fontId="13" fillId="0" borderId="53" xfId="93" applyFont="1" applyBorder="1" applyAlignment="1">
      <alignment horizontal="right"/>
    </xf>
    <xf numFmtId="0" fontId="6" fillId="0" borderId="77" xfId="0" applyFont="1" applyBorder="1" applyAlignment="1">
      <alignment horizontal="right" vertical="center"/>
    </xf>
    <xf numFmtId="0" fontId="13" fillId="0" borderId="70" xfId="0" applyFont="1" applyBorder="1" applyAlignment="1">
      <alignment horizontal="centerContinuous" vertical="center"/>
    </xf>
    <xf numFmtId="0" fontId="20" fillId="0" borderId="33" xfId="0" applyFont="1" applyBorder="1" applyAlignment="1">
      <alignment horizontal="center"/>
    </xf>
    <xf numFmtId="0" fontId="3" fillId="0" borderId="11" xfId="98" applyFont="1" applyBorder="1" applyAlignment="1">
      <alignment horizontal="center"/>
    </xf>
    <xf numFmtId="0" fontId="13" fillId="0" borderId="14" xfId="98" applyFont="1" applyBorder="1" applyAlignment="1">
      <alignment horizontal="centerContinuous" vertical="center"/>
    </xf>
    <xf numFmtId="0" fontId="13" fillId="0" borderId="36" xfId="98" applyFont="1" applyBorder="1" applyAlignment="1">
      <alignment horizontal="centerContinuous" vertical="center"/>
    </xf>
    <xf numFmtId="0" fontId="6" fillId="0" borderId="14" xfId="93" applyFont="1" applyBorder="1" applyAlignment="1">
      <alignment horizontal="centerContinuous" vertical="center"/>
    </xf>
    <xf numFmtId="0" fontId="3" fillId="0" borderId="103" xfId="0" applyFont="1" applyBorder="1" applyAlignment="1">
      <alignment horizontal="centerContinuous"/>
    </xf>
    <xf numFmtId="0" fontId="7" fillId="0" borderId="0" xfId="0" applyFont="1" applyAlignment="1">
      <alignment horizontal="left" vertical="top"/>
    </xf>
    <xf numFmtId="0" fontId="27" fillId="0" borderId="0" xfId="0" applyFont="1" applyAlignment="1">
      <alignment horizontal="right" vertical="top"/>
    </xf>
    <xf numFmtId="0" fontId="6" fillId="0" borderId="14" xfId="0" applyFont="1" applyBorder="1" applyAlignment="1">
      <alignment horizontal="centerContinuous" vertical="center"/>
    </xf>
    <xf numFmtId="0" fontId="23" fillId="0" borderId="0" xfId="0" applyFont="1" applyAlignment="1">
      <alignment horizontal="center"/>
    </xf>
    <xf numFmtId="0" fontId="7" fillId="0" borderId="0" xfId="0" applyFont="1" applyAlignment="1">
      <alignment vertical="top" wrapText="1"/>
    </xf>
    <xf numFmtId="0" fontId="28" fillId="0" borderId="0" xfId="0" applyFont="1" applyAlignment="1">
      <alignment vertical="center" wrapText="1"/>
    </xf>
    <xf numFmtId="0" fontId="33" fillId="0" borderId="0" xfId="0" applyFont="1"/>
    <xf numFmtId="0" fontId="23" fillId="0" borderId="0" xfId="0" applyFont="1" applyAlignment="1">
      <alignment horizontal="left"/>
    </xf>
    <xf numFmtId="38" fontId="14" fillId="0" borderId="51" xfId="60" applyNumberFormat="1" applyFont="1" applyBorder="1"/>
    <xf numFmtId="38" fontId="14" fillId="0" borderId="35" xfId="60" applyNumberFormat="1" applyFont="1" applyBorder="1"/>
    <xf numFmtId="38" fontId="14" fillId="0" borderId="63" xfId="60" applyNumberFormat="1" applyFont="1" applyBorder="1"/>
    <xf numFmtId="0" fontId="14" fillId="0" borderId="35" xfId="0" applyFont="1" applyBorder="1" applyAlignment="1">
      <alignment horizontal="center"/>
    </xf>
    <xf numFmtId="0" fontId="14" fillId="0" borderId="51" xfId="0" applyFont="1" applyBorder="1" applyAlignment="1">
      <alignment horizontal="center"/>
    </xf>
    <xf numFmtId="3" fontId="3" fillId="24" borderId="65" xfId="0" applyNumberFormat="1" applyFont="1" applyFill="1" applyBorder="1" applyProtection="1">
      <protection locked="0"/>
    </xf>
    <xf numFmtId="3" fontId="3" fillId="24" borderId="48" xfId="0" applyNumberFormat="1" applyFont="1" applyFill="1" applyBorder="1" applyProtection="1">
      <protection locked="0"/>
    </xf>
    <xf numFmtId="0" fontId="40" fillId="0" borderId="103" xfId="0" applyFont="1" applyBorder="1" applyAlignment="1">
      <alignment horizontal="right" vertical="center" wrapText="1"/>
    </xf>
    <xf numFmtId="3" fontId="3" fillId="0" borderId="16" xfId="97" applyNumberFormat="1" applyFont="1" applyBorder="1" applyProtection="1">
      <protection locked="0"/>
    </xf>
    <xf numFmtId="3" fontId="3" fillId="0" borderId="106" xfId="97" applyNumberFormat="1" applyFont="1" applyBorder="1" applyProtection="1">
      <protection locked="0"/>
    </xf>
    <xf numFmtId="3" fontId="3" fillId="0" borderId="81" xfId="97" applyNumberFormat="1" applyFont="1" applyBorder="1" applyProtection="1">
      <protection locked="0"/>
    </xf>
    <xf numFmtId="3" fontId="3" fillId="0" borderId="107" xfId="97" applyNumberFormat="1" applyFont="1" applyBorder="1" applyProtection="1">
      <protection locked="0"/>
    </xf>
    <xf numFmtId="3" fontId="3" fillId="0" borderId="17" xfId="97" applyNumberFormat="1" applyFont="1" applyBorder="1" applyProtection="1">
      <protection locked="0"/>
    </xf>
    <xf numFmtId="3" fontId="3" fillId="0" borderId="65" xfId="97" applyNumberFormat="1" applyFont="1" applyBorder="1" applyProtection="1">
      <protection locked="0"/>
    </xf>
    <xf numFmtId="3" fontId="3" fillId="0" borderId="58" xfId="97" applyNumberFormat="1" applyFont="1" applyBorder="1" applyProtection="1">
      <protection locked="0"/>
    </xf>
    <xf numFmtId="3" fontId="3" fillId="0" borderId="48" xfId="97" applyNumberFormat="1" applyFont="1" applyBorder="1" applyProtection="1">
      <protection locked="0"/>
    </xf>
    <xf numFmtId="3" fontId="3" fillId="0" borderId="82" xfId="97" applyNumberFormat="1" applyFont="1" applyBorder="1" applyProtection="1">
      <protection locked="0"/>
    </xf>
    <xf numFmtId="3" fontId="3" fillId="0" borderId="85" xfId="97" applyNumberFormat="1" applyFont="1" applyBorder="1" applyProtection="1">
      <protection locked="0"/>
    </xf>
    <xf numFmtId="3" fontId="3" fillId="24" borderId="35" xfId="0" applyNumberFormat="1" applyFont="1" applyFill="1" applyBorder="1"/>
    <xf numFmtId="3" fontId="3" fillId="0" borderId="35" xfId="0" applyNumberFormat="1" applyFont="1" applyBorder="1"/>
    <xf numFmtId="40" fontId="14" fillId="0" borderId="35" xfId="60" applyFont="1" applyBorder="1" applyAlignment="1"/>
    <xf numFmtId="38" fontId="14" fillId="0" borderId="35" xfId="60" applyNumberFormat="1" applyFont="1" applyBorder="1" applyAlignment="1"/>
    <xf numFmtId="4" fontId="14" fillId="0" borderId="35" xfId="0" applyNumberFormat="1" applyFont="1" applyBorder="1"/>
    <xf numFmtId="10" fontId="14" fillId="0" borderId="35" xfId="103" applyNumberFormat="1" applyFont="1" applyBorder="1" applyAlignment="1"/>
    <xf numFmtId="0" fontId="14" fillId="0" borderId="108" xfId="0" applyFont="1" applyBorder="1" applyAlignment="1">
      <alignment horizontal="center" vertical="center" wrapText="1"/>
    </xf>
    <xf numFmtId="0" fontId="13" fillId="0" borderId="0" xfId="0" applyFont="1"/>
    <xf numFmtId="0" fontId="7" fillId="0" borderId="0" xfId="0" applyFont="1" applyAlignment="1">
      <alignment horizontal="left" vertical="top" wrapText="1"/>
    </xf>
    <xf numFmtId="164" fontId="41" fillId="0" borderId="0" xfId="90" applyAlignment="1">
      <alignment vertical="center"/>
    </xf>
    <xf numFmtId="164" fontId="42" fillId="0" borderId="0" xfId="90" applyFont="1" applyAlignment="1">
      <alignment vertical="center"/>
    </xf>
    <xf numFmtId="164" fontId="24" fillId="0" borderId="0" xfId="90" applyFont="1" applyAlignment="1">
      <alignment horizontal="left" vertical="center"/>
    </xf>
    <xf numFmtId="164" fontId="14" fillId="0" borderId="0" xfId="90" applyFont="1" applyAlignment="1">
      <alignment horizontal="left" vertical="top"/>
    </xf>
    <xf numFmtId="164" fontId="46" fillId="0" borderId="0" xfId="90" applyFont="1" applyAlignment="1">
      <alignment vertical="top"/>
    </xf>
    <xf numFmtId="164" fontId="46" fillId="0" borderId="0" xfId="90" applyFont="1" applyAlignment="1">
      <alignment vertical="center"/>
    </xf>
    <xf numFmtId="164" fontId="41" fillId="0" borderId="0" xfId="92" applyNumberFormat="1" applyFont="1" applyAlignment="1">
      <alignment vertical="center"/>
    </xf>
    <xf numFmtId="164" fontId="48" fillId="0" borderId="0" xfId="90" applyFont="1" applyAlignment="1">
      <alignment vertical="center"/>
    </xf>
    <xf numFmtId="164" fontId="9" fillId="0" borderId="0" xfId="90" applyFont="1" applyAlignment="1">
      <alignment horizontal="left" vertical="center"/>
    </xf>
    <xf numFmtId="0" fontId="50" fillId="0" borderId="81" xfId="0" applyFont="1" applyBorder="1" applyAlignment="1">
      <alignment horizontal="center"/>
    </xf>
    <xf numFmtId="0" fontId="50" fillId="0" borderId="48" xfId="0" applyFont="1" applyBorder="1" applyAlignment="1">
      <alignment horizontal="center"/>
    </xf>
    <xf numFmtId="0" fontId="50" fillId="0" borderId="48" xfId="0" quotePrefix="1" applyFont="1" applyBorder="1" applyAlignment="1">
      <alignment horizontal="center"/>
    </xf>
    <xf numFmtId="3" fontId="3" fillId="0" borderId="0" xfId="0" applyNumberFormat="1" applyFont="1" applyAlignment="1">
      <alignment horizontal="center"/>
    </xf>
    <xf numFmtId="3" fontId="3" fillId="0" borderId="0" xfId="0" applyNumberFormat="1" applyFont="1"/>
    <xf numFmtId="4" fontId="51" fillId="0" borderId="35" xfId="0" applyNumberFormat="1" applyFont="1" applyBorder="1" applyAlignment="1">
      <alignment horizontal="center"/>
    </xf>
    <xf numFmtId="3" fontId="13" fillId="0" borderId="35" xfId="0" applyNumberFormat="1" applyFont="1" applyBorder="1"/>
    <xf numFmtId="0" fontId="3" fillId="0" borderId="37" xfId="0" applyFont="1" applyBorder="1" applyAlignment="1">
      <alignment horizontal="centerContinuous"/>
    </xf>
    <xf numFmtId="0" fontId="3" fillId="0" borderId="109" xfId="0" applyFont="1" applyBorder="1" applyAlignment="1">
      <alignment horizontal="center"/>
    </xf>
    <xf numFmtId="164" fontId="24" fillId="0" borderId="0" xfId="90" applyFont="1" applyAlignment="1">
      <alignment vertical="center"/>
    </xf>
    <xf numFmtId="164" fontId="43" fillId="0" borderId="0" xfId="90" applyFont="1" applyAlignment="1">
      <alignment vertical="center"/>
    </xf>
    <xf numFmtId="0" fontId="14" fillId="0" borderId="0" xfId="87" applyFont="1" applyAlignment="1">
      <alignment vertical="center"/>
    </xf>
    <xf numFmtId="164" fontId="14" fillId="0" borderId="0" xfId="90" applyFont="1" applyAlignment="1">
      <alignment vertical="top"/>
    </xf>
    <xf numFmtId="164" fontId="13" fillId="0" borderId="0" xfId="90" applyFont="1" applyAlignment="1">
      <alignment vertical="center"/>
    </xf>
    <xf numFmtId="164" fontId="14" fillId="0" borderId="0" xfId="90" applyFont="1" applyAlignment="1">
      <alignment vertical="center"/>
    </xf>
    <xf numFmtId="164" fontId="47" fillId="0" borderId="0" xfId="90" applyFont="1" applyAlignment="1">
      <alignment horizontal="left" vertical="center" wrapText="1"/>
    </xf>
    <xf numFmtId="0" fontId="45" fillId="0" borderId="0" xfId="87" applyFont="1" applyAlignment="1">
      <alignment horizontal="left" vertical="center"/>
    </xf>
    <xf numFmtId="0" fontId="26" fillId="0" borderId="0" xfId="87" applyFont="1" applyAlignment="1">
      <alignment horizontal="center" vertical="center"/>
    </xf>
    <xf numFmtId="164" fontId="9" fillId="0" borderId="0" xfId="92" applyNumberFormat="1" applyFont="1" applyAlignment="1">
      <alignment vertical="center"/>
    </xf>
    <xf numFmtId="164" fontId="23" fillId="0" borderId="0" xfId="92" applyNumberFormat="1" applyFont="1" applyAlignment="1">
      <alignment vertical="center"/>
    </xf>
    <xf numFmtId="164" fontId="24" fillId="0" borderId="0" xfId="92" applyNumberFormat="1" applyFont="1" applyAlignment="1">
      <alignment vertical="center"/>
    </xf>
    <xf numFmtId="0" fontId="22" fillId="0" borderId="0" xfId="0" applyFont="1" applyAlignment="1">
      <alignment horizontal="center" vertical="top"/>
    </xf>
    <xf numFmtId="0" fontId="15" fillId="0" borderId="0" xfId="92"/>
    <xf numFmtId="164" fontId="22" fillId="0" borderId="35" xfId="90" applyFont="1" applyBorder="1" applyAlignment="1">
      <alignment horizontal="center" vertical="center"/>
    </xf>
    <xf numFmtId="0" fontId="30" fillId="0" borderId="0" xfId="88" applyAlignment="1">
      <alignment vertical="center"/>
    </xf>
    <xf numFmtId="164" fontId="49" fillId="0" borderId="0" xfId="90" applyFont="1" applyAlignment="1">
      <alignment vertical="center"/>
    </xf>
    <xf numFmtId="167" fontId="42" fillId="0" borderId="0" xfId="90" applyNumberFormat="1" applyFont="1" applyAlignment="1">
      <alignment vertical="center"/>
    </xf>
    <xf numFmtId="164" fontId="53" fillId="0" borderId="0" xfId="90" applyFont="1" applyAlignment="1">
      <alignment vertical="center"/>
    </xf>
    <xf numFmtId="167" fontId="41" fillId="0" borderId="0" xfId="90" applyNumberFormat="1" applyAlignment="1" applyProtection="1">
      <alignment vertical="center"/>
      <protection locked="0"/>
    </xf>
    <xf numFmtId="0" fontId="3" fillId="0" borderId="81" xfId="98" applyFont="1" applyBorder="1" applyAlignment="1">
      <alignment horizontal="centerContinuous" vertical="center" wrapText="1"/>
    </xf>
    <xf numFmtId="0" fontId="17" fillId="0" borderId="94" xfId="98" applyFont="1" applyBorder="1" applyAlignment="1">
      <alignment horizontal="centerContinuous" vertical="center" wrapText="1"/>
    </xf>
    <xf numFmtId="0" fontId="17" fillId="0" borderId="86" xfId="98" applyFont="1" applyBorder="1" applyAlignment="1">
      <alignment horizontal="centerContinuous" vertical="center" wrapText="1"/>
    </xf>
    <xf numFmtId="0" fontId="18" fillId="0" borderId="110" xfId="98" applyFont="1" applyBorder="1" applyAlignment="1">
      <alignment horizontal="centerContinuous" vertical="center"/>
    </xf>
    <xf numFmtId="1" fontId="3" fillId="0" borderId="0" xfId="0" applyNumberFormat="1" applyFont="1"/>
    <xf numFmtId="1" fontId="13" fillId="0" borderId="35" xfId="0" applyNumberFormat="1" applyFont="1" applyBorder="1" applyAlignment="1">
      <alignment horizontal="center" vertical="center" wrapText="1"/>
    </xf>
    <xf numFmtId="1" fontId="10" fillId="0" borderId="35" xfId="0" applyNumberFormat="1" applyFont="1" applyBorder="1" applyAlignment="1">
      <alignment horizontal="center" vertical="center" wrapText="1"/>
    </xf>
    <xf numFmtId="1" fontId="3" fillId="0" borderId="0" xfId="0" applyNumberFormat="1" applyFont="1" applyAlignment="1">
      <alignment horizontal="center"/>
    </xf>
    <xf numFmtId="3" fontId="13" fillId="0" borderId="35" xfId="0" applyNumberFormat="1" applyFont="1" applyBorder="1" applyAlignment="1">
      <alignment horizontal="center" vertical="center" wrapText="1"/>
    </xf>
    <xf numFmtId="3" fontId="10" fillId="0" borderId="35" xfId="0" applyNumberFormat="1" applyFont="1" applyBorder="1" applyAlignment="1">
      <alignment horizontal="center" vertical="center" wrapText="1"/>
    </xf>
    <xf numFmtId="0" fontId="54" fillId="0" borderId="0" xfId="0" applyFont="1"/>
    <xf numFmtId="38" fontId="54" fillId="0" borderId="0" xfId="0" applyNumberFormat="1" applyFont="1"/>
    <xf numFmtId="0" fontId="55" fillId="0" borderId="0" xfId="0" applyFont="1"/>
    <xf numFmtId="0" fontId="30" fillId="0" borderId="0" xfId="0" applyFont="1"/>
    <xf numFmtId="0" fontId="56" fillId="0" borderId="0" xfId="0" applyFont="1"/>
    <xf numFmtId="10" fontId="30" fillId="0" borderId="97" xfId="103" applyNumberFormat="1" applyFont="1" applyBorder="1" applyAlignment="1">
      <alignment horizontal="center"/>
    </xf>
    <xf numFmtId="10" fontId="30" fillId="0" borderId="72" xfId="103" applyNumberFormat="1" applyFont="1" applyBorder="1" applyAlignment="1">
      <alignment horizontal="center"/>
    </xf>
    <xf numFmtId="10" fontId="30" fillId="0" borderId="111" xfId="103" applyNumberFormat="1" applyFont="1" applyBorder="1" applyAlignment="1">
      <alignment horizontal="center"/>
    </xf>
    <xf numFmtId="10" fontId="31" fillId="0" borderId="63" xfId="103" applyNumberFormat="1" applyFont="1" applyBorder="1" applyAlignment="1">
      <alignment horizontal="center" wrapText="1"/>
    </xf>
    <xf numFmtId="10" fontId="30" fillId="0" borderId="63" xfId="103" applyNumberFormat="1" applyFont="1" applyBorder="1" applyAlignment="1">
      <alignment horizontal="center"/>
    </xf>
    <xf numFmtId="10" fontId="30" fillId="0" borderId="58" xfId="103" applyNumberFormat="1" applyFont="1" applyBorder="1" applyAlignment="1">
      <alignment horizontal="center"/>
    </xf>
    <xf numFmtId="168" fontId="3" fillId="24" borderId="65" xfId="0" applyNumberFormat="1" applyFont="1" applyFill="1" applyBorder="1"/>
    <xf numFmtId="168" fontId="3" fillId="24" borderId="97" xfId="0" applyNumberFormat="1" applyFont="1" applyFill="1" applyBorder="1"/>
    <xf numFmtId="168" fontId="3" fillId="0" borderId="112" xfId="0" applyNumberFormat="1" applyFont="1" applyBorder="1"/>
    <xf numFmtId="168" fontId="3" fillId="0" borderId="113" xfId="0" applyNumberFormat="1" applyFont="1" applyBorder="1"/>
    <xf numFmtId="168" fontId="3" fillId="0" borderId="114" xfId="0" applyNumberFormat="1" applyFont="1" applyBorder="1"/>
    <xf numFmtId="168" fontId="3" fillId="0" borderId="53" xfId="93" applyNumberFormat="1" applyFont="1" applyBorder="1"/>
    <xf numFmtId="168" fontId="3" fillId="0" borderId="113" xfId="93" applyNumberFormat="1" applyFont="1" applyBorder="1"/>
    <xf numFmtId="168" fontId="3" fillId="0" borderId="112" xfId="93" applyNumberFormat="1" applyFont="1" applyBorder="1"/>
    <xf numFmtId="168" fontId="3" fillId="24" borderId="66" xfId="0" applyNumberFormat="1" applyFont="1" applyFill="1" applyBorder="1"/>
    <xf numFmtId="168" fontId="3" fillId="24" borderId="115" xfId="0" applyNumberFormat="1" applyFont="1" applyFill="1" applyBorder="1" applyAlignment="1">
      <alignment vertical="center"/>
    </xf>
    <xf numFmtId="168" fontId="3" fillId="0" borderId="112" xfId="0" applyNumberFormat="1" applyFont="1" applyBorder="1" applyAlignment="1">
      <alignment vertical="center"/>
    </xf>
    <xf numFmtId="168" fontId="3" fillId="0" borderId="116" xfId="0" applyNumberFormat="1" applyFont="1" applyBorder="1" applyAlignment="1">
      <alignment vertical="center"/>
    </xf>
    <xf numFmtId="168" fontId="3" fillId="0" borderId="94" xfId="93" applyNumberFormat="1" applyFont="1" applyBorder="1"/>
    <xf numFmtId="168" fontId="3" fillId="0" borderId="96" xfId="93" applyNumberFormat="1" applyFont="1" applyBorder="1"/>
    <xf numFmtId="168" fontId="3" fillId="0" borderId="67" xfId="93" applyNumberFormat="1" applyFont="1" applyBorder="1"/>
    <xf numFmtId="168" fontId="3" fillId="0" borderId="97" xfId="93" applyNumberFormat="1" applyFont="1" applyBorder="1"/>
    <xf numFmtId="168" fontId="14" fillId="0" borderId="84" xfId="94" applyNumberFormat="1" applyFont="1" applyBorder="1"/>
    <xf numFmtId="168" fontId="14" fillId="0" borderId="72" xfId="94" applyNumberFormat="1" applyFont="1" applyBorder="1"/>
    <xf numFmtId="168" fontId="14" fillId="24" borderId="112" xfId="94" applyNumberFormat="1" applyFont="1" applyFill="1" applyBorder="1"/>
    <xf numFmtId="168" fontId="14" fillId="24" borderId="114" xfId="94" applyNumberFormat="1" applyFont="1" applyFill="1" applyBorder="1"/>
    <xf numFmtId="168" fontId="14" fillId="24" borderId="113" xfId="94" applyNumberFormat="1" applyFont="1" applyFill="1" applyBorder="1"/>
    <xf numFmtId="168" fontId="3" fillId="24" borderId="112" xfId="95" applyNumberFormat="1" applyFont="1" applyFill="1" applyBorder="1"/>
    <xf numFmtId="168" fontId="3" fillId="24" borderId="113" xfId="95" applyNumberFormat="1" applyFont="1" applyFill="1" applyBorder="1"/>
    <xf numFmtId="168" fontId="3" fillId="24" borderId="114" xfId="95" applyNumberFormat="1" applyFont="1" applyFill="1" applyBorder="1"/>
    <xf numFmtId="168" fontId="3" fillId="24" borderId="82" xfId="95" applyNumberFormat="1" applyFont="1" applyFill="1" applyBorder="1"/>
    <xf numFmtId="168" fontId="3" fillId="24" borderId="117" xfId="95" applyNumberFormat="1" applyFont="1" applyFill="1" applyBorder="1"/>
    <xf numFmtId="168" fontId="3" fillId="24" borderId="70" xfId="95" applyNumberFormat="1" applyFont="1" applyFill="1" applyBorder="1"/>
    <xf numFmtId="168" fontId="3" fillId="24" borderId="94" xfId="96" applyNumberFormat="1" applyFont="1" applyFill="1" applyBorder="1"/>
    <xf numFmtId="168" fontId="3" fillId="24" borderId="117" xfId="96" applyNumberFormat="1" applyFont="1" applyFill="1" applyBorder="1"/>
    <xf numFmtId="168" fontId="3" fillId="24" borderId="67" xfId="96" applyNumberFormat="1" applyFont="1" applyFill="1" applyBorder="1"/>
    <xf numFmtId="168" fontId="3" fillId="24" borderId="70" xfId="96" applyNumberFormat="1" applyFont="1" applyFill="1" applyBorder="1"/>
    <xf numFmtId="168" fontId="3" fillId="24" borderId="112" xfId="96" applyNumberFormat="1" applyFont="1" applyFill="1" applyBorder="1"/>
    <xf numFmtId="168" fontId="3" fillId="24" borderId="114" xfId="96" applyNumberFormat="1" applyFont="1" applyFill="1" applyBorder="1"/>
    <xf numFmtId="168" fontId="3" fillId="24" borderId="113" xfId="96" applyNumberFormat="1" applyFont="1" applyFill="1" applyBorder="1"/>
    <xf numFmtId="168" fontId="3" fillId="24" borderId="84" xfId="97" applyNumberFormat="1" applyFont="1" applyFill="1" applyBorder="1"/>
    <xf numFmtId="168" fontId="3" fillId="24" borderId="79" xfId="97" applyNumberFormat="1" applyFont="1" applyFill="1" applyBorder="1"/>
    <xf numFmtId="168" fontId="3" fillId="24" borderId="112" xfId="97" applyNumberFormat="1" applyFont="1" applyFill="1" applyBorder="1"/>
    <xf numFmtId="168" fontId="3" fillId="24" borderId="113" xfId="97" applyNumberFormat="1" applyFont="1" applyFill="1" applyBorder="1"/>
    <xf numFmtId="168" fontId="3" fillId="24" borderId="94" xfId="0" applyNumberFormat="1" applyFont="1" applyFill="1" applyBorder="1"/>
    <xf numFmtId="168" fontId="3" fillId="24" borderId="96" xfId="0" applyNumberFormat="1" applyFont="1" applyFill="1" applyBorder="1"/>
    <xf numFmtId="168" fontId="3" fillId="24" borderId="67" xfId="0" applyNumberFormat="1" applyFont="1" applyFill="1" applyBorder="1"/>
    <xf numFmtId="168" fontId="3" fillId="24" borderId="112" xfId="98" applyNumberFormat="1" applyFont="1" applyFill="1" applyBorder="1"/>
    <xf numFmtId="168" fontId="3" fillId="24" borderId="113" xfId="98" applyNumberFormat="1" applyFont="1" applyFill="1" applyBorder="1"/>
    <xf numFmtId="168" fontId="3" fillId="24" borderId="114" xfId="98" applyNumberFormat="1" applyFont="1" applyFill="1" applyBorder="1"/>
    <xf numFmtId="0" fontId="3" fillId="0" borderId="88" xfId="98" applyFont="1" applyBorder="1" applyAlignment="1">
      <alignment horizontal="centerContinuous" vertical="center" wrapText="1"/>
    </xf>
    <xf numFmtId="168" fontId="3" fillId="24" borderId="118" xfId="0" applyNumberFormat="1" applyFont="1" applyFill="1" applyBorder="1"/>
    <xf numFmtId="168" fontId="3" fillId="24" borderId="119" xfId="0" applyNumberFormat="1" applyFont="1" applyFill="1" applyBorder="1"/>
    <xf numFmtId="168" fontId="3" fillId="24" borderId="112" xfId="0" applyNumberFormat="1" applyFont="1" applyFill="1" applyBorder="1"/>
    <xf numFmtId="168" fontId="3" fillId="24" borderId="70" xfId="0" applyNumberFormat="1" applyFont="1" applyFill="1" applyBorder="1"/>
    <xf numFmtId="0" fontId="43" fillId="0" borderId="0" xfId="90" applyNumberFormat="1" applyFont="1" applyAlignment="1">
      <alignment vertical="center"/>
    </xf>
    <xf numFmtId="0" fontId="41" fillId="0" borderId="0" xfId="90" applyNumberFormat="1" applyAlignment="1" applyProtection="1">
      <alignment vertical="center"/>
      <protection locked="0"/>
    </xf>
    <xf numFmtId="0" fontId="28" fillId="0" borderId="120" xfId="0" applyFont="1" applyBorder="1" applyAlignment="1">
      <alignment horizontal="left" vertical="center" wrapText="1"/>
    </xf>
    <xf numFmtId="0" fontId="52" fillId="0" borderId="26" xfId="0" applyFont="1" applyBorder="1" applyAlignment="1">
      <alignment horizontal="center" vertical="center" wrapText="1"/>
    </xf>
    <xf numFmtId="0" fontId="52" fillId="0" borderId="121" xfId="0" applyFont="1" applyBorder="1" applyAlignment="1">
      <alignment horizontal="center" vertical="center" wrapText="1"/>
    </xf>
    <xf numFmtId="0" fontId="58" fillId="0" borderId="31" xfId="0" applyFont="1" applyBorder="1" applyAlignment="1">
      <alignment horizontal="center" vertical="center" wrapText="1"/>
    </xf>
    <xf numFmtId="0" fontId="58" fillId="0" borderId="122" xfId="0" applyFont="1" applyBorder="1" applyAlignment="1">
      <alignment horizontal="center" vertical="center" wrapText="1"/>
    </xf>
    <xf numFmtId="0" fontId="59" fillId="0" borderId="0" xfId="0" applyFont="1"/>
    <xf numFmtId="0" fontId="16" fillId="0" borderId="16" xfId="98" applyFont="1" applyBorder="1" applyAlignment="1">
      <alignment horizontal="centerContinuous" vertical="center" wrapText="1"/>
    </xf>
    <xf numFmtId="0" fontId="3" fillId="0" borderId="17" xfId="98" applyFont="1" applyBorder="1" applyAlignment="1">
      <alignment horizontal="centerContinuous" vertical="center" wrapText="1"/>
    </xf>
    <xf numFmtId="2" fontId="14" fillId="0" borderId="123" xfId="0" applyNumberFormat="1" applyFont="1" applyBorder="1" applyAlignment="1">
      <alignment horizontal="center" vertical="center" wrapText="1"/>
    </xf>
    <xf numFmtId="164" fontId="9" fillId="0" borderId="0" xfId="90" applyFont="1" applyAlignment="1">
      <alignment horizontal="left" vertical="center" wrapText="1"/>
    </xf>
    <xf numFmtId="167" fontId="41" fillId="0" borderId="0" xfId="90" applyNumberFormat="1" applyAlignment="1">
      <alignment vertical="center"/>
    </xf>
    <xf numFmtId="164" fontId="61" fillId="0" borderId="0" xfId="90" applyFont="1" applyAlignment="1">
      <alignment horizontal="center" vertical="center" wrapText="1"/>
    </xf>
    <xf numFmtId="0" fontId="61" fillId="0" borderId="0" xfId="90" applyNumberFormat="1" applyFont="1" applyAlignment="1">
      <alignment horizontal="center" vertical="center" wrapText="1"/>
    </xf>
    <xf numFmtId="49" fontId="63" fillId="0" borderId="59" xfId="43" applyNumberFormat="1" applyFont="1" applyBorder="1" applyAlignment="1" applyProtection="1">
      <alignment horizontal="left" vertical="center"/>
      <protection locked="0"/>
    </xf>
    <xf numFmtId="0" fontId="41" fillId="0" borderId="0" xfId="90" applyNumberFormat="1" applyAlignment="1">
      <alignment vertical="center"/>
    </xf>
    <xf numFmtId="164" fontId="64" fillId="0" borderId="0" xfId="90" applyFont="1" applyAlignment="1">
      <alignment vertical="center"/>
    </xf>
    <xf numFmtId="0" fontId="14" fillId="0" borderId="124" xfId="0" applyFont="1" applyBorder="1" applyAlignment="1">
      <alignment horizontal="left"/>
    </xf>
    <xf numFmtId="3" fontId="3" fillId="24" borderId="125" xfId="0" applyNumberFormat="1" applyFont="1" applyFill="1" applyBorder="1" applyAlignment="1">
      <alignment horizontal="center"/>
    </xf>
    <xf numFmtId="0" fontId="13" fillId="0" borderId="126" xfId="0" applyFont="1" applyBorder="1" applyAlignment="1">
      <alignment horizontal="center"/>
    </xf>
    <xf numFmtId="3" fontId="13" fillId="0" borderId="127" xfId="0" applyNumberFormat="1" applyFont="1" applyBorder="1" applyAlignment="1">
      <alignment horizontal="center"/>
    </xf>
    <xf numFmtId="171" fontId="3" fillId="24" borderId="118" xfId="0" applyNumberFormat="1" applyFont="1" applyFill="1" applyBorder="1"/>
    <xf numFmtId="0" fontId="10" fillId="0" borderId="124" xfId="0" applyFont="1" applyBorder="1" applyAlignment="1">
      <alignment horizontal="center" vertical="center" wrapText="1"/>
    </xf>
    <xf numFmtId="0" fontId="10" fillId="0" borderId="125" xfId="0" applyFont="1" applyBorder="1" applyAlignment="1">
      <alignment horizontal="center" vertical="center" wrapText="1"/>
    </xf>
    <xf numFmtId="0" fontId="10" fillId="0" borderId="128" xfId="0" applyFont="1" applyBorder="1" applyAlignment="1">
      <alignment horizontal="center" vertical="center" wrapText="1"/>
    </xf>
    <xf numFmtId="164" fontId="24" fillId="0" borderId="0" xfId="90" applyFont="1" applyAlignment="1">
      <alignment vertical="top"/>
    </xf>
    <xf numFmtId="168" fontId="3" fillId="0" borderId="129" xfId="93" applyNumberFormat="1" applyFont="1" applyBorder="1"/>
    <xf numFmtId="3" fontId="3" fillId="0" borderId="58" xfId="93" applyNumberFormat="1" applyFont="1" applyBorder="1" applyProtection="1">
      <protection locked="0"/>
    </xf>
    <xf numFmtId="168" fontId="3" fillId="0" borderId="28" xfId="93" applyNumberFormat="1" applyFont="1" applyBorder="1"/>
    <xf numFmtId="3" fontId="3" fillId="0" borderId="94" xfId="93" applyNumberFormat="1" applyFont="1" applyBorder="1" applyProtection="1">
      <protection locked="0"/>
    </xf>
    <xf numFmtId="3" fontId="3" fillId="0" borderId="67" xfId="93" applyNumberFormat="1" applyFont="1" applyBorder="1" applyProtection="1">
      <protection locked="0"/>
    </xf>
    <xf numFmtId="3" fontId="3" fillId="0" borderId="130" xfId="97" applyNumberFormat="1" applyFont="1" applyBorder="1" applyProtection="1">
      <protection locked="0"/>
    </xf>
    <xf numFmtId="3" fontId="3" fillId="0" borderId="80" xfId="97" applyNumberFormat="1" applyFont="1" applyBorder="1" applyProtection="1">
      <protection locked="0"/>
    </xf>
    <xf numFmtId="168" fontId="3" fillId="24" borderId="129" xfId="97" applyNumberFormat="1" applyFont="1" applyFill="1" applyBorder="1"/>
    <xf numFmtId="168" fontId="3" fillId="24" borderId="131" xfId="97" applyNumberFormat="1" applyFont="1" applyFill="1" applyBorder="1"/>
    <xf numFmtId="168" fontId="3" fillId="24" borderId="132" xfId="97" applyNumberFormat="1" applyFont="1" applyFill="1" applyBorder="1"/>
    <xf numFmtId="0" fontId="18" fillId="0" borderId="133" xfId="97" applyFont="1" applyBorder="1" applyAlignment="1">
      <alignment horizontal="centerContinuous" vertical="center" wrapText="1"/>
    </xf>
    <xf numFmtId="0" fontId="18" fillId="0" borderId="134" xfId="97" applyFont="1" applyBorder="1" applyAlignment="1">
      <alignment horizontal="centerContinuous" vertical="center" wrapText="1"/>
    </xf>
    <xf numFmtId="168" fontId="3" fillId="24" borderId="135" xfId="97" applyNumberFormat="1" applyFont="1" applyFill="1" applyBorder="1"/>
    <xf numFmtId="168" fontId="0" fillId="0" borderId="136" xfId="0" applyNumberFormat="1" applyBorder="1"/>
    <xf numFmtId="168" fontId="3" fillId="0" borderId="114" xfId="93" applyNumberFormat="1" applyFont="1" applyBorder="1"/>
    <xf numFmtId="168" fontId="14" fillId="24" borderId="118" xfId="94" applyNumberFormat="1" applyFont="1" applyFill="1" applyBorder="1"/>
    <xf numFmtId="168" fontId="3" fillId="24" borderId="84" xfId="98" applyNumberFormat="1" applyFont="1" applyFill="1" applyBorder="1"/>
    <xf numFmtId="0" fontId="39" fillId="0" borderId="100" xfId="98" applyFont="1" applyBorder="1" applyAlignment="1">
      <alignment horizontal="center"/>
    </xf>
    <xf numFmtId="168" fontId="3" fillId="24" borderId="79" xfId="98" applyNumberFormat="1" applyFont="1" applyFill="1" applyBorder="1"/>
    <xf numFmtId="164" fontId="9" fillId="0" borderId="0" xfId="90" applyFont="1" applyAlignment="1" applyProtection="1">
      <alignment vertical="center"/>
      <protection locked="0"/>
    </xf>
    <xf numFmtId="164" fontId="24" fillId="24" borderId="0" xfId="90" applyFont="1" applyFill="1" applyAlignment="1">
      <alignment vertical="center"/>
    </xf>
    <xf numFmtId="0" fontId="0" fillId="24" borderId="0" xfId="0" applyFill="1"/>
    <xf numFmtId="164" fontId="9" fillId="0" borderId="0" xfId="90" applyFont="1" applyAlignment="1">
      <alignment vertical="center"/>
    </xf>
    <xf numFmtId="164" fontId="41" fillId="0" borderId="0" xfId="90" applyAlignment="1" applyProtection="1">
      <alignment vertical="center"/>
      <protection locked="0"/>
    </xf>
    <xf numFmtId="49" fontId="24" fillId="24" borderId="21" xfId="87" applyNumberFormat="1" applyFont="1" applyFill="1" applyBorder="1" applyAlignment="1" applyProtection="1">
      <alignment horizontal="left" vertical="center"/>
      <protection locked="0"/>
    </xf>
    <xf numFmtId="49" fontId="24" fillId="24" borderId="0" xfId="87" applyNumberFormat="1" applyFont="1" applyFill="1" applyAlignment="1" applyProtection="1">
      <alignment horizontal="left" vertical="center"/>
      <protection locked="0"/>
    </xf>
    <xf numFmtId="0" fontId="68" fillId="24" borderId="0" xfId="0" applyFont="1" applyFill="1" applyAlignment="1">
      <alignment horizontal="center"/>
    </xf>
    <xf numFmtId="0" fontId="69" fillId="24" borderId="0" xfId="0" applyFont="1" applyFill="1" applyAlignment="1">
      <alignment horizontal="center"/>
    </xf>
    <xf numFmtId="167" fontId="0" fillId="24" borderId="0" xfId="0" applyNumberFormat="1" applyFill="1"/>
    <xf numFmtId="0" fontId="70" fillId="24" borderId="0" xfId="0" applyFont="1" applyFill="1"/>
    <xf numFmtId="0" fontId="71" fillId="24" borderId="0" xfId="0" applyFont="1" applyFill="1" applyAlignment="1">
      <alignment horizontal="right"/>
    </xf>
    <xf numFmtId="0" fontId="65" fillId="24" borderId="0" xfId="0" applyFont="1" applyFill="1"/>
    <xf numFmtId="0" fontId="28" fillId="24" borderId="35" xfId="0" applyFont="1" applyFill="1" applyBorder="1" applyAlignment="1">
      <alignment horizontal="center" wrapText="1"/>
    </xf>
    <xf numFmtId="0" fontId="28" fillId="24" borderId="35" xfId="0" applyFont="1" applyFill="1" applyBorder="1" applyAlignment="1">
      <alignment horizontal="center"/>
    </xf>
    <xf numFmtId="0" fontId="28" fillId="24" borderId="84" xfId="0" applyFont="1" applyFill="1" applyBorder="1" applyAlignment="1">
      <alignment horizontal="center" wrapText="1"/>
    </xf>
    <xf numFmtId="0" fontId="28" fillId="24" borderId="79" xfId="0" applyFont="1" applyFill="1" applyBorder="1" applyAlignment="1">
      <alignment horizontal="center"/>
    </xf>
    <xf numFmtId="0" fontId="19" fillId="24" borderId="63" xfId="0" applyFont="1" applyFill="1" applyBorder="1" applyAlignment="1">
      <alignment horizontal="left"/>
    </xf>
    <xf numFmtId="0" fontId="28" fillId="24" borderId="58" xfId="0" applyFont="1" applyFill="1" applyBorder="1" applyAlignment="1">
      <alignment horizontal="right"/>
    </xf>
    <xf numFmtId="164" fontId="22" fillId="0" borderId="0" xfId="90" applyFont="1" applyAlignment="1">
      <alignment horizontal="center" vertical="center"/>
    </xf>
    <xf numFmtId="3" fontId="0" fillId="0" borderId="117" xfId="0" applyNumberFormat="1" applyBorder="1" applyProtection="1">
      <protection locked="0"/>
    </xf>
    <xf numFmtId="3" fontId="0" fillId="0" borderId="71" xfId="0" applyNumberFormat="1" applyBorder="1" applyProtection="1">
      <protection locked="0"/>
    </xf>
    <xf numFmtId="0" fontId="22" fillId="24" borderId="0" xfId="0" applyFont="1" applyFill="1" applyAlignment="1">
      <alignment horizontal="center" vertical="top"/>
    </xf>
    <xf numFmtId="167" fontId="24" fillId="0" borderId="0" xfId="90" applyNumberFormat="1" applyFont="1" applyAlignment="1">
      <alignment vertical="center"/>
    </xf>
    <xf numFmtId="1" fontId="0" fillId="24" borderId="0" xfId="0" applyNumberFormat="1" applyFill="1"/>
    <xf numFmtId="1" fontId="24" fillId="26" borderId="35" xfId="90" applyNumberFormat="1" applyFont="1" applyFill="1" applyBorder="1" applyAlignment="1" applyProtection="1">
      <alignment vertical="center"/>
      <protection locked="0"/>
    </xf>
    <xf numFmtId="3" fontId="19" fillId="24" borderId="35" xfId="0" applyNumberFormat="1" applyFont="1" applyFill="1" applyBorder="1" applyAlignment="1" applyProtection="1">
      <alignment wrapText="1"/>
      <protection locked="0"/>
    </xf>
    <xf numFmtId="3" fontId="19" fillId="24" borderId="35" xfId="0" applyNumberFormat="1" applyFont="1" applyFill="1" applyBorder="1" applyProtection="1">
      <protection locked="0"/>
    </xf>
    <xf numFmtId="3" fontId="19" fillId="24" borderId="84" xfId="0" applyNumberFormat="1" applyFont="1" applyFill="1" applyBorder="1" applyProtection="1">
      <protection locked="0"/>
    </xf>
    <xf numFmtId="3" fontId="19" fillId="24" borderId="79" xfId="0" applyNumberFormat="1" applyFont="1" applyFill="1" applyBorder="1" applyProtection="1">
      <protection locked="0"/>
    </xf>
    <xf numFmtId="3" fontId="19" fillId="24" borderId="84" xfId="0" applyNumberFormat="1" applyFont="1" applyFill="1" applyBorder="1" applyAlignment="1" applyProtection="1">
      <alignment horizontal="right"/>
      <protection locked="0"/>
    </xf>
    <xf numFmtId="168" fontId="19" fillId="24" borderId="67" xfId="0" applyNumberFormat="1" applyFont="1" applyFill="1" applyBorder="1" applyAlignment="1">
      <alignment horizontal="right"/>
    </xf>
    <xf numFmtId="168" fontId="19" fillId="24" borderId="51" xfId="0" applyNumberFormat="1" applyFont="1" applyFill="1" applyBorder="1" applyAlignment="1">
      <alignment horizontal="right"/>
    </xf>
    <xf numFmtId="168" fontId="19" fillId="24" borderId="48" xfId="0" applyNumberFormat="1" applyFont="1" applyFill="1" applyBorder="1" applyAlignment="1">
      <alignment horizontal="right"/>
    </xf>
    <xf numFmtId="3" fontId="3" fillId="0" borderId="81" xfId="94" applyNumberFormat="1" applyFont="1" applyBorder="1" applyProtection="1">
      <protection locked="0"/>
    </xf>
    <xf numFmtId="3" fontId="0" fillId="0" borderId="94" xfId="0" applyNumberFormat="1" applyBorder="1" applyProtection="1">
      <protection locked="0"/>
    </xf>
    <xf numFmtId="3" fontId="3" fillId="0" borderId="48" xfId="94" applyNumberFormat="1" applyFont="1" applyBorder="1" applyProtection="1">
      <protection locked="0"/>
    </xf>
    <xf numFmtId="3" fontId="0" fillId="0" borderId="84" xfId="0" applyNumberFormat="1" applyBorder="1" applyProtection="1">
      <protection locked="0"/>
    </xf>
    <xf numFmtId="168" fontId="0" fillId="0" borderId="112" xfId="0" applyNumberFormat="1" applyBorder="1"/>
    <xf numFmtId="0" fontId="28" fillId="0" borderId="0" xfId="0" applyFont="1" applyAlignment="1">
      <alignment horizontal="left" vertical="center" wrapText="1"/>
    </xf>
    <xf numFmtId="0" fontId="6" fillId="0" borderId="35" xfId="0" applyFont="1" applyBorder="1" applyAlignment="1">
      <alignment horizontal="center" vertical="center"/>
    </xf>
    <xf numFmtId="0" fontId="6" fillId="0" borderId="35" xfId="0" applyFont="1" applyBorder="1" applyAlignment="1">
      <alignment horizontal="center" vertical="center" wrapText="1"/>
    </xf>
    <xf numFmtId="0" fontId="3" fillId="0" borderId="35" xfId="0" applyFont="1" applyBorder="1" applyAlignment="1">
      <alignment horizontal="center" vertical="center" wrapText="1"/>
    </xf>
    <xf numFmtId="0" fontId="25" fillId="0" borderId="35" xfId="0" applyFont="1" applyBorder="1" applyAlignment="1">
      <alignment horizontal="center" vertical="center" wrapText="1"/>
    </xf>
    <xf numFmtId="0" fontId="21" fillId="0" borderId="35" xfId="0" applyFont="1" applyBorder="1" applyAlignment="1">
      <alignment horizontal="center" vertical="center" wrapText="1"/>
    </xf>
    <xf numFmtId="0" fontId="94" fillId="0" borderId="35" xfId="0" applyFont="1" applyBorder="1" applyAlignment="1">
      <alignment horizontal="center" vertical="center" wrapText="1"/>
    </xf>
    <xf numFmtId="170" fontId="3" fillId="0" borderId="35" xfId="0" applyNumberFormat="1" applyFont="1" applyBorder="1" applyAlignment="1">
      <alignment horizontal="center"/>
    </xf>
    <xf numFmtId="170" fontId="3" fillId="0" borderId="35" xfId="60" applyNumberFormat="1" applyFont="1" applyBorder="1" applyAlignment="1"/>
    <xf numFmtId="169" fontId="3" fillId="0" borderId="35" xfId="0" applyNumberFormat="1" applyFont="1" applyBorder="1"/>
    <xf numFmtId="169" fontId="6" fillId="0" borderId="35" xfId="0" applyNumberFormat="1" applyFont="1" applyBorder="1"/>
    <xf numFmtId="169" fontId="95" fillId="0" borderId="35" xfId="0" applyNumberFormat="1" applyFont="1" applyBorder="1"/>
    <xf numFmtId="0" fontId="18" fillId="0" borderId="139" xfId="98" applyFont="1" applyBorder="1" applyAlignment="1">
      <alignment horizontal="centerContinuous" vertical="center"/>
    </xf>
    <xf numFmtId="3" fontId="3" fillId="0" borderId="54" xfId="98" applyNumberFormat="1" applyFont="1" applyBorder="1" applyProtection="1">
      <protection locked="0"/>
    </xf>
    <xf numFmtId="3" fontId="3" fillId="0" borderId="87" xfId="98" applyNumberFormat="1" applyFont="1" applyBorder="1" applyProtection="1">
      <protection locked="0"/>
    </xf>
    <xf numFmtId="168" fontId="3" fillId="24" borderId="129" xfId="98" applyNumberFormat="1" applyFont="1" applyFill="1" applyBorder="1"/>
    <xf numFmtId="0" fontId="18" fillId="0" borderId="140" xfId="98" applyFont="1" applyBorder="1" applyAlignment="1">
      <alignment horizontal="centerContinuous" vertical="center"/>
    </xf>
    <xf numFmtId="0" fontId="39" fillId="0" borderId="32" xfId="98" applyFont="1" applyBorder="1" applyAlignment="1">
      <alignment horizontal="center"/>
    </xf>
    <xf numFmtId="3" fontId="3" fillId="0" borderId="42" xfId="98" applyNumberFormat="1" applyFont="1" applyBorder="1" applyProtection="1">
      <protection locked="0"/>
    </xf>
    <xf numFmtId="3" fontId="3" fillId="0" borderId="88" xfId="98" applyNumberFormat="1" applyFont="1" applyBorder="1" applyProtection="1">
      <protection locked="0"/>
    </xf>
    <xf numFmtId="168" fontId="3" fillId="24" borderId="50" xfId="98" applyNumberFormat="1" applyFont="1" applyFill="1" applyBorder="1"/>
    <xf numFmtId="3" fontId="3" fillId="0" borderId="141" xfId="98" applyNumberFormat="1" applyFont="1" applyBorder="1" applyProtection="1">
      <protection locked="0"/>
    </xf>
    <xf numFmtId="0" fontId="39" fillId="0" borderId="142" xfId="98" applyFont="1" applyBorder="1" applyAlignment="1">
      <alignment horizontal="center"/>
    </xf>
    <xf numFmtId="168" fontId="3" fillId="24" borderId="132" xfId="98" applyNumberFormat="1" applyFont="1" applyFill="1" applyBorder="1"/>
    <xf numFmtId="168" fontId="3" fillId="24" borderId="143" xfId="98" applyNumberFormat="1" applyFont="1" applyFill="1" applyBorder="1"/>
    <xf numFmtId="0" fontId="10" fillId="0" borderId="20" xfId="93" applyFont="1" applyBorder="1" applyAlignment="1">
      <alignment horizontal="center" vertical="center"/>
    </xf>
    <xf numFmtId="0" fontId="10" fillId="0" borderId="20" xfId="94" applyFont="1" applyBorder="1" applyAlignment="1">
      <alignment horizontal="center" vertical="center"/>
    </xf>
    <xf numFmtId="0" fontId="20" fillId="0" borderId="89" xfId="93" applyFont="1" applyBorder="1" applyAlignment="1">
      <alignment horizontal="center"/>
    </xf>
    <xf numFmtId="0" fontId="20" fillId="0" borderId="144" xfId="93" applyFont="1" applyBorder="1" applyAlignment="1">
      <alignment horizontal="center"/>
    </xf>
    <xf numFmtId="0" fontId="20" fillId="0" borderId="145" xfId="93" applyFont="1" applyBorder="1" applyAlignment="1">
      <alignment horizontal="center"/>
    </xf>
    <xf numFmtId="0" fontId="20" fillId="0" borderId="89" xfId="94" applyFont="1" applyBorder="1" applyAlignment="1">
      <alignment horizontal="center"/>
    </xf>
    <xf numFmtId="0" fontId="20" fillId="0" borderId="144" xfId="94" applyFont="1" applyBorder="1" applyAlignment="1">
      <alignment horizontal="center"/>
    </xf>
    <xf numFmtId="0" fontId="20" fillId="0" borderId="145" xfId="94" applyFont="1" applyBorder="1" applyAlignment="1">
      <alignment horizontal="center"/>
    </xf>
    <xf numFmtId="0" fontId="0" fillId="0" borderId="0" xfId="0" applyAlignment="1">
      <alignment vertical="top"/>
    </xf>
    <xf numFmtId="164" fontId="9" fillId="0" borderId="0" xfId="90" applyFont="1" applyAlignment="1">
      <alignment vertical="center" wrapText="1"/>
    </xf>
    <xf numFmtId="0" fontId="18" fillId="0" borderId="121" xfId="0" applyFont="1" applyBorder="1" applyAlignment="1">
      <alignment horizontal="center" vertical="center" wrapText="1"/>
    </xf>
    <xf numFmtId="49" fontId="15" fillId="26" borderId="63" xfId="90" applyNumberFormat="1" applyFont="1" applyFill="1" applyBorder="1" applyAlignment="1" applyProtection="1">
      <alignment horizontal="left" vertical="center"/>
      <protection locked="0"/>
    </xf>
    <xf numFmtId="49" fontId="15" fillId="26" borderId="35" xfId="90" applyNumberFormat="1" applyFont="1" applyFill="1" applyBorder="1" applyAlignment="1" applyProtection="1">
      <alignment horizontal="left" vertical="center"/>
      <protection locked="0"/>
    </xf>
    <xf numFmtId="49" fontId="15" fillId="26" borderId="51" xfId="87" applyNumberFormat="1" applyFont="1" applyFill="1" applyBorder="1" applyAlignment="1" applyProtection="1">
      <alignment horizontal="left" vertical="center"/>
      <protection locked="0"/>
    </xf>
    <xf numFmtId="49" fontId="15" fillId="26" borderId="63" xfId="0" applyNumberFormat="1" applyFont="1" applyFill="1" applyBorder="1" applyAlignment="1" applyProtection="1">
      <alignment horizontal="left" vertical="center"/>
      <protection locked="0"/>
    </xf>
    <xf numFmtId="49" fontId="15" fillId="26" borderId="35" xfId="87" applyNumberFormat="1" applyFont="1" applyFill="1" applyBorder="1" applyAlignment="1" applyProtection="1">
      <alignment horizontal="left" vertical="center"/>
      <protection locked="0"/>
    </xf>
    <xf numFmtId="49" fontId="8" fillId="26" borderId="59" xfId="43" applyNumberFormat="1" applyFill="1" applyBorder="1" applyAlignment="1" applyProtection="1">
      <alignment horizontal="left" vertical="center"/>
      <protection locked="0"/>
    </xf>
    <xf numFmtId="49" fontId="15" fillId="26" borderId="35" xfId="0" applyNumberFormat="1" applyFont="1" applyFill="1" applyBorder="1" applyAlignment="1" applyProtection="1">
      <alignment horizontal="left"/>
      <protection locked="0"/>
    </xf>
    <xf numFmtId="0" fontId="3" fillId="0" borderId="113" xfId="98" applyFont="1" applyBorder="1" applyAlignment="1">
      <alignment horizontal="center"/>
    </xf>
    <xf numFmtId="0" fontId="11" fillId="0" borderId="35" xfId="0" applyFont="1" applyBorder="1" applyAlignment="1">
      <alignment horizontal="center" vertical="center" wrapText="1"/>
    </xf>
    <xf numFmtId="0" fontId="3" fillId="0" borderId="44" xfId="0" applyFont="1" applyBorder="1" applyAlignment="1">
      <alignment horizontal="centerContinuous" vertical="center" wrapText="1"/>
    </xf>
    <xf numFmtId="0" fontId="36" fillId="0" borderId="35" xfId="0" applyFont="1" applyBorder="1"/>
    <xf numFmtId="0" fontId="123" fillId="0" borderId="35" xfId="0" applyFont="1" applyBorder="1"/>
    <xf numFmtId="0" fontId="25" fillId="0" borderId="49" xfId="0" applyFont="1" applyBorder="1"/>
    <xf numFmtId="0" fontId="10" fillId="0" borderId="103" xfId="0" applyFont="1" applyBorder="1" applyAlignment="1">
      <alignment horizontal="center" vertical="center" wrapText="1"/>
    </xf>
    <xf numFmtId="0" fontId="10" fillId="0" borderId="146" xfId="0" applyFont="1" applyBorder="1" applyAlignment="1">
      <alignment horizontal="center" vertical="center" wrapText="1"/>
    </xf>
    <xf numFmtId="0" fontId="10" fillId="0" borderId="147" xfId="0" applyFont="1" applyBorder="1" applyAlignment="1">
      <alignment horizontal="center" vertical="center" wrapText="1"/>
    </xf>
    <xf numFmtId="0" fontId="10" fillId="0" borderId="148" xfId="0" applyFont="1" applyBorder="1" applyAlignment="1">
      <alignment horizontal="center" vertical="center" wrapText="1"/>
    </xf>
    <xf numFmtId="0" fontId="25" fillId="0" borderId="149" xfId="0" applyFont="1" applyBorder="1"/>
    <xf numFmtId="0" fontId="3" fillId="0" borderId="56" xfId="0" applyFont="1" applyBorder="1" applyAlignment="1">
      <alignment horizontal="center"/>
    </xf>
    <xf numFmtId="0" fontId="3" fillId="0" borderId="39" xfId="0" applyFont="1" applyBorder="1" applyAlignment="1">
      <alignment horizontal="justify" wrapText="1"/>
    </xf>
    <xf numFmtId="0" fontId="3" fillId="0" borderId="49" xfId="0" applyFont="1" applyBorder="1" applyAlignment="1">
      <alignment horizontal="justify" wrapText="1"/>
    </xf>
    <xf numFmtId="0" fontId="3" fillId="0" borderId="60" xfId="0" applyFont="1" applyBorder="1" applyAlignment="1">
      <alignment horizontal="justify" wrapText="1"/>
    </xf>
    <xf numFmtId="0" fontId="9" fillId="0" borderId="0" xfId="88" applyFont="1" applyAlignment="1">
      <alignment vertical="center"/>
    </xf>
    <xf numFmtId="164" fontId="9" fillId="0" borderId="0" xfId="90" applyFont="1" applyAlignment="1">
      <alignment horizontal="right" vertical="center"/>
    </xf>
    <xf numFmtId="164" fontId="91" fillId="0" borderId="0" xfId="90" applyFont="1" applyAlignment="1">
      <alignment horizontal="left" vertical="center"/>
    </xf>
    <xf numFmtId="164" fontId="91" fillId="0" borderId="0" xfId="90" applyFont="1" applyAlignment="1">
      <alignment horizontal="right" vertical="center"/>
    </xf>
    <xf numFmtId="164" fontId="91" fillId="0" borderId="0" xfId="90" applyFont="1" applyAlignment="1">
      <alignment vertical="center"/>
    </xf>
    <xf numFmtId="1" fontId="15" fillId="25" borderId="35" xfId="90" applyNumberFormat="1" applyFont="1" applyFill="1" applyBorder="1" applyAlignment="1">
      <alignment vertical="center"/>
    </xf>
    <xf numFmtId="164" fontId="62" fillId="0" borderId="80" xfId="90" applyFont="1" applyBorder="1" applyAlignment="1">
      <alignment vertical="center" wrapText="1"/>
    </xf>
    <xf numFmtId="164" fontId="100" fillId="0" borderId="80" xfId="90" applyFont="1" applyBorder="1" applyAlignment="1">
      <alignment vertical="center" wrapText="1"/>
    </xf>
    <xf numFmtId="0" fontId="10" fillId="0" borderId="61" xfId="0" applyFont="1" applyBorder="1" applyAlignment="1">
      <alignment horizontal="center" vertical="center" wrapText="1"/>
    </xf>
    <xf numFmtId="0" fontId="6" fillId="0" borderId="72" xfId="0" applyFont="1" applyBorder="1" applyAlignment="1">
      <alignment horizontal="center" wrapText="1"/>
    </xf>
    <xf numFmtId="0" fontId="6" fillId="0" borderId="111" xfId="0" applyFont="1" applyBorder="1" applyAlignment="1">
      <alignment horizontal="center" wrapText="1"/>
    </xf>
    <xf numFmtId="0" fontId="6" fillId="0" borderId="150" xfId="0" applyFont="1" applyBorder="1" applyAlignment="1">
      <alignment horizontal="center" wrapText="1"/>
    </xf>
    <xf numFmtId="164" fontId="100" fillId="0" borderId="139" xfId="90" applyFont="1" applyBorder="1" applyAlignment="1">
      <alignment vertical="center" wrapText="1"/>
    </xf>
    <xf numFmtId="3" fontId="19" fillId="24" borderId="84" xfId="0" applyNumberFormat="1" applyFont="1" applyFill="1" applyBorder="1" applyAlignment="1" applyProtection="1">
      <alignment wrapText="1"/>
      <protection locked="0"/>
    </xf>
    <xf numFmtId="3" fontId="14" fillId="0" borderId="94" xfId="94" applyNumberFormat="1" applyFont="1" applyBorder="1" applyProtection="1">
      <protection locked="0"/>
    </xf>
    <xf numFmtId="3" fontId="14" fillId="0" borderId="81" xfId="94" applyNumberFormat="1" applyFont="1" applyBorder="1" applyProtection="1">
      <protection locked="0"/>
    </xf>
    <xf numFmtId="3" fontId="14" fillId="0" borderId="130" xfId="94" applyNumberFormat="1" applyFont="1" applyBorder="1" applyProtection="1">
      <protection locked="0"/>
    </xf>
    <xf numFmtId="3" fontId="14" fillId="0" borderId="84" xfId="94" applyNumberFormat="1" applyFont="1" applyBorder="1" applyProtection="1">
      <protection locked="0"/>
    </xf>
    <xf numFmtId="3" fontId="14" fillId="0" borderId="79" xfId="94" applyNumberFormat="1" applyFont="1" applyBorder="1" applyProtection="1">
      <protection locked="0"/>
    </xf>
    <xf numFmtId="3" fontId="14" fillId="0" borderId="87" xfId="94" applyNumberFormat="1" applyFont="1" applyBorder="1" applyProtection="1">
      <protection locked="0"/>
    </xf>
    <xf numFmtId="3" fontId="14" fillId="0" borderId="65" xfId="94" applyNumberFormat="1" applyFont="1" applyBorder="1" applyProtection="1">
      <protection locked="0"/>
    </xf>
    <xf numFmtId="3" fontId="14" fillId="0" borderId="48" xfId="94" applyNumberFormat="1" applyFont="1" applyBorder="1" applyProtection="1">
      <protection locked="0"/>
    </xf>
    <xf numFmtId="3" fontId="14" fillId="0" borderId="67" xfId="94" applyNumberFormat="1" applyFont="1" applyBorder="1" applyProtection="1">
      <protection locked="0"/>
    </xf>
    <xf numFmtId="3" fontId="14" fillId="0" borderId="80" xfId="94" applyNumberFormat="1" applyFont="1" applyBorder="1" applyProtection="1">
      <protection locked="0"/>
    </xf>
    <xf numFmtId="3" fontId="3" fillId="0" borderId="94" xfId="0" applyNumberFormat="1" applyFont="1" applyBorder="1" applyProtection="1">
      <protection locked="0"/>
    </xf>
    <xf numFmtId="3" fontId="3" fillId="0" borderId="81" xfId="0" applyNumberFormat="1" applyFont="1" applyBorder="1" applyProtection="1">
      <protection locked="0"/>
    </xf>
    <xf numFmtId="3" fontId="3" fillId="0" borderId="35" xfId="0" applyNumberFormat="1" applyFont="1" applyBorder="1" applyAlignment="1">
      <alignment horizontal="center"/>
    </xf>
    <xf numFmtId="3" fontId="3" fillId="0" borderId="56" xfId="0" applyNumberFormat="1" applyFont="1" applyBorder="1" applyAlignment="1">
      <alignment horizontal="center"/>
    </xf>
    <xf numFmtId="3" fontId="14" fillId="0" borderId="35" xfId="60" applyNumberFormat="1" applyFont="1" applyBorder="1" applyAlignment="1"/>
    <xf numFmtId="0" fontId="124" fillId="0" borderId="0" xfId="0" applyFont="1" applyAlignment="1">
      <alignment horizontal="left" vertical="top"/>
    </xf>
    <xf numFmtId="0" fontId="13" fillId="0" borderId="51" xfId="0" applyFont="1" applyBorder="1" applyAlignment="1">
      <alignment horizontal="center"/>
    </xf>
    <xf numFmtId="0" fontId="3" fillId="0" borderId="51" xfId="0" applyFont="1" applyBorder="1" applyAlignment="1">
      <alignment horizontal="left"/>
    </xf>
    <xf numFmtId="0" fontId="13" fillId="0" borderId="51" xfId="0" applyFont="1" applyBorder="1" applyAlignment="1">
      <alignment horizontal="left"/>
    </xf>
    <xf numFmtId="0" fontId="13" fillId="0" borderId="35" xfId="0" applyFont="1" applyBorder="1" applyAlignment="1">
      <alignment horizontal="left"/>
    </xf>
    <xf numFmtId="164" fontId="53" fillId="24" borderId="0" xfId="90" applyFont="1" applyFill="1" applyAlignment="1">
      <alignment vertical="center"/>
    </xf>
    <xf numFmtId="164" fontId="15" fillId="0" borderId="0" xfId="90" applyFont="1" applyAlignment="1">
      <alignment vertical="center"/>
    </xf>
    <xf numFmtId="0" fontId="3" fillId="0" borderId="20" xfId="0" applyFont="1" applyBorder="1"/>
    <xf numFmtId="0" fontId="3" fillId="0" borderId="0" xfId="0" applyFont="1" applyAlignment="1">
      <alignment horizontal="center" vertical="top"/>
    </xf>
    <xf numFmtId="0" fontId="2" fillId="0" borderId="0" xfId="0" applyFont="1" applyAlignment="1">
      <alignment horizontal="right" vertical="top"/>
    </xf>
    <xf numFmtId="0" fontId="3" fillId="29" borderId="37" xfId="0" applyFont="1" applyFill="1" applyBorder="1"/>
    <xf numFmtId="0" fontId="3" fillId="29" borderId="36" xfId="0" applyFont="1" applyFill="1" applyBorder="1"/>
    <xf numFmtId="0" fontId="6" fillId="29" borderId="151" xfId="0" applyFont="1" applyFill="1" applyBorder="1" applyAlignment="1">
      <alignment horizontal="centerContinuous" vertical="center" wrapText="1"/>
    </xf>
    <xf numFmtId="0" fontId="6" fillId="29" borderId="44" xfId="0" applyFont="1" applyFill="1" applyBorder="1" applyAlignment="1">
      <alignment horizontal="centerContinuous" vertical="center" wrapText="1"/>
    </xf>
    <xf numFmtId="0" fontId="20" fillId="0" borderId="0" xfId="0" applyFont="1" applyAlignment="1">
      <alignment horizontal="center" vertical="top"/>
    </xf>
    <xf numFmtId="0" fontId="20" fillId="29" borderId="20" xfId="0" applyFont="1" applyFill="1" applyBorder="1" applyAlignment="1">
      <alignment horizontal="center"/>
    </xf>
    <xf numFmtId="0" fontId="20" fillId="29" borderId="40" xfId="0" applyFont="1" applyFill="1" applyBorder="1" applyAlignment="1">
      <alignment horizontal="center"/>
    </xf>
    <xf numFmtId="0" fontId="125" fillId="0" borderId="0" xfId="0" applyFont="1" applyAlignment="1">
      <alignment horizontal="center" vertical="center"/>
    </xf>
    <xf numFmtId="168" fontId="3" fillId="29" borderId="124" xfId="0" applyNumberFormat="1" applyFont="1" applyFill="1" applyBorder="1"/>
    <xf numFmtId="168" fontId="3" fillId="29" borderId="128" xfId="0" applyNumberFormat="1" applyFont="1" applyFill="1" applyBorder="1"/>
    <xf numFmtId="168" fontId="3" fillId="29" borderId="49" xfId="0" applyNumberFormat="1" applyFont="1" applyFill="1" applyBorder="1"/>
    <xf numFmtId="168" fontId="3" fillId="29" borderId="72" xfId="0" applyNumberFormat="1" applyFont="1" applyFill="1" applyBorder="1"/>
    <xf numFmtId="168" fontId="3" fillId="29" borderId="74" xfId="0" applyNumberFormat="1" applyFont="1" applyFill="1" applyBorder="1"/>
    <xf numFmtId="168" fontId="3" fillId="29" borderId="76" xfId="0" applyNumberFormat="1" applyFont="1" applyFill="1" applyBorder="1"/>
    <xf numFmtId="164" fontId="5" fillId="0" borderId="0" xfId="90" applyFont="1" applyAlignment="1">
      <alignment vertical="center"/>
    </xf>
    <xf numFmtId="164" fontId="3" fillId="0" borderId="80" xfId="90" applyFont="1" applyBorder="1" applyAlignment="1">
      <alignment vertical="center"/>
    </xf>
    <xf numFmtId="49" fontId="15" fillId="0" borderId="35" xfId="90" applyNumberFormat="1" applyFont="1" applyBorder="1" applyAlignment="1" applyProtection="1">
      <alignment horizontal="left" vertical="center"/>
      <protection locked="0"/>
    </xf>
    <xf numFmtId="49" fontId="8" fillId="0" borderId="59" xfId="43" applyNumberFormat="1" applyFill="1" applyBorder="1" applyAlignment="1" applyProtection="1">
      <alignment horizontal="left" vertical="center"/>
      <protection locked="0"/>
    </xf>
    <xf numFmtId="49" fontId="15" fillId="0" borderId="35" xfId="0" applyNumberFormat="1" applyFont="1" applyBorder="1" applyAlignment="1" applyProtection="1">
      <alignment horizontal="left"/>
      <protection locked="0"/>
    </xf>
    <xf numFmtId="164" fontId="15" fillId="0" borderId="0" xfId="90" applyFont="1" applyAlignment="1">
      <alignment horizontal="left" vertical="center"/>
    </xf>
    <xf numFmtId="0" fontId="23" fillId="0" borderId="0" xfId="0" applyFont="1" applyAlignment="1">
      <alignment wrapText="1"/>
    </xf>
    <xf numFmtId="0" fontId="15" fillId="0" borderId="124" xfId="0" applyFont="1" applyBorder="1" applyAlignment="1">
      <alignment horizontal="left" vertical="center" wrapText="1"/>
    </xf>
    <xf numFmtId="3" fontId="3" fillId="24" borderId="125" xfId="0" applyNumberFormat="1" applyFont="1" applyFill="1" applyBorder="1" applyAlignment="1">
      <alignment horizontal="center" vertical="center"/>
    </xf>
    <xf numFmtId="0" fontId="15" fillId="0" borderId="49" xfId="0" applyFont="1" applyBorder="1" applyAlignment="1">
      <alignment horizontal="left" vertical="center" wrapText="1"/>
    </xf>
    <xf numFmtId="3" fontId="3" fillId="24" borderId="35" xfId="0" applyNumberFormat="1" applyFont="1" applyFill="1" applyBorder="1" applyAlignment="1">
      <alignment horizontal="center" vertical="center"/>
    </xf>
    <xf numFmtId="0" fontId="15" fillId="0" borderId="60" xfId="0" applyFont="1" applyBorder="1" applyAlignment="1">
      <alignment horizontal="left" vertical="center" wrapText="1"/>
    </xf>
    <xf numFmtId="3" fontId="3" fillId="24" borderId="52" xfId="0" applyNumberFormat="1" applyFont="1" applyFill="1" applyBorder="1" applyAlignment="1">
      <alignment horizontal="center" vertical="center"/>
    </xf>
    <xf numFmtId="0" fontId="10" fillId="0" borderId="74" xfId="0" applyFont="1" applyBorder="1" applyAlignment="1">
      <alignment horizontal="center" vertical="center" wrapText="1"/>
    </xf>
    <xf numFmtId="0" fontId="10" fillId="0" borderId="75" xfId="0" applyFont="1" applyBorder="1" applyAlignment="1">
      <alignment horizontal="center" vertical="center" wrapText="1"/>
    </xf>
    <xf numFmtId="0" fontId="10" fillId="0" borderId="76" xfId="0" applyFont="1" applyBorder="1" applyAlignment="1">
      <alignment horizontal="center" vertical="center" wrapText="1"/>
    </xf>
    <xf numFmtId="0" fontId="3" fillId="0" borderId="18" xfId="0" applyFont="1" applyBorder="1" applyAlignment="1">
      <alignment horizontal="left" vertical="center" wrapText="1"/>
    </xf>
    <xf numFmtId="3" fontId="3" fillId="24" borderId="51" xfId="0" applyNumberFormat="1" applyFont="1" applyFill="1" applyBorder="1" applyAlignment="1">
      <alignment horizontal="center" vertical="center"/>
    </xf>
    <xf numFmtId="3" fontId="3" fillId="0" borderId="51" xfId="0" applyNumberFormat="1" applyFont="1" applyBorder="1" applyAlignment="1">
      <alignment horizontal="center" vertical="center"/>
    </xf>
    <xf numFmtId="0" fontId="3" fillId="0" borderId="60" xfId="0" applyFont="1" applyBorder="1" applyAlignment="1">
      <alignment horizontal="left" vertical="center" wrapText="1"/>
    </xf>
    <xf numFmtId="3" fontId="3" fillId="0" borderId="52" xfId="0" applyNumberFormat="1" applyFont="1" applyBorder="1" applyAlignment="1">
      <alignment horizontal="center" vertical="center"/>
    </xf>
    <xf numFmtId="0" fontId="25" fillId="0" borderId="0" xfId="0" applyFont="1"/>
    <xf numFmtId="3" fontId="15" fillId="0" borderId="35" xfId="0" applyNumberFormat="1" applyFont="1" applyBorder="1" applyAlignment="1">
      <alignment vertical="center"/>
    </xf>
    <xf numFmtId="4" fontId="3" fillId="0" borderId="49" xfId="0" applyNumberFormat="1" applyFont="1" applyBorder="1" applyAlignment="1">
      <alignment horizontal="justify"/>
    </xf>
    <xf numFmtId="3" fontId="15" fillId="0" borderId="35" xfId="0" applyNumberFormat="1" applyFont="1" applyBorder="1" applyAlignment="1">
      <alignment horizontal="right" vertical="center"/>
    </xf>
    <xf numFmtId="0" fontId="3" fillId="0" borderId="49" xfId="0" applyFont="1" applyBorder="1" applyAlignment="1">
      <alignment horizontal="justify"/>
    </xf>
    <xf numFmtId="3" fontId="15" fillId="0" borderId="52" xfId="0" applyNumberFormat="1" applyFont="1" applyBorder="1" applyAlignment="1">
      <alignment vertical="center"/>
    </xf>
    <xf numFmtId="0" fontId="23" fillId="0" borderId="74" xfId="0" applyFont="1" applyBorder="1" applyAlignment="1">
      <alignment horizontal="center" vertical="center" wrapText="1"/>
    </xf>
    <xf numFmtId="3" fontId="23" fillId="0" borderId="75" xfId="0" applyNumberFormat="1" applyFont="1" applyBorder="1" applyAlignment="1">
      <alignment vertical="center"/>
    </xf>
    <xf numFmtId="0" fontId="9" fillId="30" borderId="76" xfId="0" applyFont="1" applyFill="1" applyBorder="1" applyAlignment="1">
      <alignment horizontal="center" vertical="center" wrapText="1"/>
    </xf>
    <xf numFmtId="0" fontId="0" fillId="0" borderId="125" xfId="0" applyBorder="1"/>
    <xf numFmtId="0" fontId="0" fillId="0" borderId="128" xfId="0" applyBorder="1"/>
    <xf numFmtId="0" fontId="3" fillId="0" borderId="35" xfId="0" applyFont="1" applyBorder="1" applyAlignment="1">
      <alignment horizontal="justify" vertical="center" wrapText="1"/>
    </xf>
    <xf numFmtId="0" fontId="9" fillId="30" borderId="76" xfId="0" applyFont="1" applyFill="1" applyBorder="1" applyAlignment="1">
      <alignment horizontal="center" vertical="center"/>
    </xf>
    <xf numFmtId="0" fontId="101" fillId="0" borderId="0" xfId="0" applyFont="1"/>
    <xf numFmtId="1" fontId="0" fillId="0" borderId="0" xfId="0" applyNumberFormat="1"/>
    <xf numFmtId="0" fontId="6" fillId="0" borderId="0" xfId="0" applyFont="1"/>
    <xf numFmtId="0" fontId="126" fillId="0" borderId="0" xfId="0" applyFont="1"/>
    <xf numFmtId="0" fontId="3" fillId="0" borderId="63" xfId="0" applyFont="1" applyBorder="1" applyAlignment="1">
      <alignment horizontal="center"/>
    </xf>
    <xf numFmtId="0" fontId="15" fillId="0" borderId="51" xfId="0" applyFont="1" applyBorder="1" applyAlignment="1">
      <alignment horizontal="center"/>
    </xf>
    <xf numFmtId="0" fontId="3" fillId="0" borderId="38" xfId="0" applyFont="1" applyBorder="1" applyAlignment="1">
      <alignment horizontal="justify"/>
    </xf>
    <xf numFmtId="0" fontId="104" fillId="0" borderId="0" xfId="0" applyFont="1" applyAlignment="1">
      <alignment wrapText="1"/>
    </xf>
    <xf numFmtId="0" fontId="0" fillId="0" borderId="0" xfId="0" applyProtection="1">
      <protection locked="0"/>
    </xf>
    <xf numFmtId="0" fontId="59" fillId="0" borderId="0" xfId="0" applyFont="1" applyAlignment="1">
      <alignment horizontal="center" vertical="center" wrapText="1"/>
    </xf>
    <xf numFmtId="40" fontId="3" fillId="24" borderId="125" xfId="60" applyFont="1" applyFill="1" applyBorder="1" applyAlignment="1">
      <alignment horizontal="center"/>
    </xf>
    <xf numFmtId="40" fontId="3" fillId="24" borderId="35" xfId="60" applyFont="1" applyFill="1" applyBorder="1" applyAlignment="1">
      <alignment horizontal="center"/>
    </xf>
    <xf numFmtId="40" fontId="3" fillId="24" borderId="52" xfId="60" applyFont="1" applyFill="1" applyBorder="1" applyAlignment="1">
      <alignment horizontal="center"/>
    </xf>
    <xf numFmtId="0" fontId="3" fillId="0" borderId="20" xfId="0" applyFont="1" applyBorder="1" applyAlignment="1">
      <alignment horizontal="justify"/>
    </xf>
    <xf numFmtId="0" fontId="23" fillId="0" borderId="124" xfId="0" applyFont="1" applyBorder="1" applyAlignment="1">
      <alignment horizontal="center" vertical="center"/>
    </xf>
    <xf numFmtId="0" fontId="23" fillId="0" borderId="128" xfId="0" applyFont="1" applyBorder="1" applyAlignment="1">
      <alignment horizontal="center" vertical="center" wrapText="1"/>
    </xf>
    <xf numFmtId="0" fontId="23" fillId="24" borderId="0" xfId="0" applyFont="1" applyFill="1" applyAlignment="1">
      <alignment horizontal="center" vertical="center" wrapText="1"/>
    </xf>
    <xf numFmtId="0" fontId="15" fillId="0" borderId="49" xfId="0" applyFont="1" applyBorder="1" applyAlignment="1">
      <alignment horizontal="centerContinuous"/>
    </xf>
    <xf numFmtId="0" fontId="98" fillId="0" borderId="63" xfId="0" applyFont="1" applyBorder="1" applyAlignment="1">
      <alignment horizontal="center"/>
    </xf>
    <xf numFmtId="0" fontId="105" fillId="0" borderId="124" xfId="0" applyFont="1" applyBorder="1" applyAlignment="1">
      <alignment horizontal="center"/>
    </xf>
    <xf numFmtId="0" fontId="105" fillId="0" borderId="125" xfId="0" applyFont="1" applyBorder="1" applyAlignment="1">
      <alignment horizontal="center"/>
    </xf>
    <xf numFmtId="0" fontId="105" fillId="0" borderId="128" xfId="0" applyFont="1" applyBorder="1" applyAlignment="1">
      <alignment horizontal="center"/>
    </xf>
    <xf numFmtId="0" fontId="105" fillId="0" borderId="0" xfId="0" applyFont="1" applyAlignment="1">
      <alignment horizontal="center"/>
    </xf>
    <xf numFmtId="0" fontId="10" fillId="0" borderId="49" xfId="0" applyFont="1" applyBorder="1" applyAlignment="1">
      <alignment horizontal="center" vertical="center"/>
    </xf>
    <xf numFmtId="0" fontId="10" fillId="0" borderId="63" xfId="0" applyFont="1" applyBorder="1" applyAlignment="1">
      <alignment horizontal="center" vertical="center" wrapText="1"/>
    </xf>
    <xf numFmtId="1" fontId="11" fillId="0" borderId="49" xfId="0" applyNumberFormat="1" applyFont="1" applyBorder="1" applyAlignment="1">
      <alignment horizontal="center" vertical="center" wrapText="1"/>
    </xf>
    <xf numFmtId="0" fontId="11" fillId="0" borderId="72" xfId="0" applyFont="1" applyBorder="1" applyAlignment="1">
      <alignment horizontal="center" vertical="center" wrapText="1"/>
    </xf>
    <xf numFmtId="3" fontId="15" fillId="24" borderId="0" xfId="0" applyNumberFormat="1" applyFont="1" applyFill="1" applyProtection="1">
      <protection locked="0"/>
    </xf>
    <xf numFmtId="0" fontId="11" fillId="0" borderId="49" xfId="0" applyFont="1" applyBorder="1" applyAlignment="1">
      <alignment horizontal="center" vertical="center" wrapText="1"/>
    </xf>
    <xf numFmtId="0" fontId="15" fillId="0" borderId="49" xfId="0" applyFont="1" applyBorder="1" applyAlignment="1">
      <alignment horizontal="left"/>
    </xf>
    <xf numFmtId="4" fontId="15" fillId="24" borderId="49" xfId="0" applyNumberFormat="1" applyFont="1" applyFill="1" applyBorder="1" applyProtection="1">
      <protection locked="0"/>
    </xf>
    <xf numFmtId="4" fontId="15" fillId="24" borderId="35" xfId="0" applyNumberFormat="1" applyFont="1" applyFill="1" applyBorder="1" applyProtection="1">
      <protection locked="0"/>
    </xf>
    <xf numFmtId="4" fontId="15" fillId="24" borderId="72" xfId="0" applyNumberFormat="1" applyFont="1" applyFill="1" applyBorder="1" applyProtection="1">
      <protection locked="0"/>
    </xf>
    <xf numFmtId="3" fontId="15" fillId="24" borderId="49" xfId="0" applyNumberFormat="1" applyFont="1" applyFill="1" applyBorder="1" applyProtection="1">
      <protection locked="0"/>
    </xf>
    <xf numFmtId="3" fontId="15" fillId="24" borderId="35" xfId="0" applyNumberFormat="1" applyFont="1" applyFill="1" applyBorder="1" applyProtection="1">
      <protection locked="0"/>
    </xf>
    <xf numFmtId="3" fontId="15" fillId="24" borderId="72" xfId="0" applyNumberFormat="1" applyFont="1" applyFill="1" applyBorder="1" applyProtection="1">
      <protection locked="0"/>
    </xf>
    <xf numFmtId="0" fontId="15" fillId="0" borderId="49" xfId="0" applyFont="1" applyBorder="1" applyAlignment="1">
      <alignment horizontal="center"/>
    </xf>
    <xf numFmtId="0" fontId="15" fillId="0" borderId="72" xfId="0" applyFont="1" applyBorder="1" applyAlignment="1">
      <alignment horizontal="center"/>
    </xf>
    <xf numFmtId="0" fontId="5" fillId="0" borderId="74" xfId="0" applyFont="1" applyBorder="1" applyAlignment="1">
      <alignment horizontal="right" vertical="center"/>
    </xf>
    <xf numFmtId="0" fontId="15" fillId="0" borderId="152" xfId="0" applyFont="1" applyBorder="1" applyAlignment="1">
      <alignment horizontal="center"/>
    </xf>
    <xf numFmtId="4" fontId="15" fillId="0" borderId="74" xfId="60" applyNumberFormat="1" applyFont="1" applyFill="1" applyBorder="1" applyAlignment="1"/>
    <xf numFmtId="4" fontId="15" fillId="0" borderId="75" xfId="60" applyNumberFormat="1" applyFont="1" applyFill="1" applyBorder="1" applyAlignment="1"/>
    <xf numFmtId="4" fontId="15" fillId="0" borderId="76" xfId="60" applyNumberFormat="1" applyFont="1" applyFill="1" applyBorder="1" applyAlignment="1"/>
    <xf numFmtId="38" fontId="15" fillId="0" borderId="74" xfId="60" applyNumberFormat="1" applyFont="1" applyFill="1" applyBorder="1" applyAlignment="1"/>
    <xf numFmtId="38" fontId="15" fillId="0" borderId="75" xfId="60" applyNumberFormat="1" applyFont="1" applyFill="1" applyBorder="1" applyAlignment="1"/>
    <xf numFmtId="38" fontId="15" fillId="0" borderId="76" xfId="60" applyNumberFormat="1" applyFont="1" applyFill="1" applyBorder="1" applyAlignment="1"/>
    <xf numFmtId="0" fontId="15" fillId="0" borderId="74" xfId="0" applyFont="1" applyBorder="1" applyAlignment="1">
      <alignment horizontal="center"/>
    </xf>
    <xf numFmtId="0" fontId="15" fillId="0" borderId="76" xfId="0" applyFont="1" applyBorder="1" applyAlignment="1">
      <alignment horizontal="center"/>
    </xf>
    <xf numFmtId="164" fontId="3" fillId="0" borderId="0" xfId="90" applyFont="1" applyAlignment="1">
      <alignment vertical="center"/>
    </xf>
    <xf numFmtId="38" fontId="0" fillId="0" borderId="0" xfId="0" applyNumberFormat="1"/>
    <xf numFmtId="38" fontId="3" fillId="0" borderId="0" xfId="93" applyNumberFormat="1" applyFont="1"/>
    <xf numFmtId="38" fontId="3" fillId="0" borderId="0" xfId="94" applyNumberFormat="1" applyFont="1"/>
    <xf numFmtId="38" fontId="3" fillId="0" borderId="0" xfId="95" applyNumberFormat="1" applyFont="1"/>
    <xf numFmtId="38" fontId="3" fillId="0" borderId="0" xfId="96" applyNumberFormat="1" applyFont="1"/>
    <xf numFmtId="38" fontId="15" fillId="0" borderId="0" xfId="97" applyNumberFormat="1"/>
    <xf numFmtId="38" fontId="3" fillId="0" borderId="0" xfId="0" applyNumberFormat="1" applyFont="1"/>
    <xf numFmtId="38" fontId="3" fillId="0" borderId="0" xfId="98" applyNumberFormat="1" applyFont="1"/>
    <xf numFmtId="0" fontId="10" fillId="0" borderId="153" xfId="0" applyFont="1" applyBorder="1" applyAlignment="1">
      <alignment horizontal="center" vertical="center"/>
    </xf>
    <xf numFmtId="0" fontId="6" fillId="31" borderId="47" xfId="93" applyFont="1" applyFill="1" applyBorder="1" applyAlignment="1">
      <alignment horizontal="center"/>
    </xf>
    <xf numFmtId="0" fontId="6" fillId="0" borderId="47" xfId="93" applyFont="1" applyBorder="1" applyAlignment="1">
      <alignment horizontal="center"/>
    </xf>
    <xf numFmtId="38" fontId="3" fillId="0" borderId="0" xfId="60" applyNumberFormat="1" applyFont="1"/>
    <xf numFmtId="3" fontId="15" fillId="0" borderId="35" xfId="0" applyNumberFormat="1" applyFont="1" applyBorder="1" applyProtection="1">
      <protection locked="0"/>
    </xf>
    <xf numFmtId="3" fontId="15" fillId="0" borderId="52" xfId="0" applyNumberFormat="1" applyFont="1" applyBorder="1" applyProtection="1">
      <protection locked="0"/>
    </xf>
    <xf numFmtId="0" fontId="15" fillId="0" borderId="73" xfId="0" applyFont="1" applyBorder="1" applyAlignment="1" applyProtection="1">
      <alignment wrapText="1"/>
      <protection locked="0"/>
    </xf>
    <xf numFmtId="168" fontId="3" fillId="24" borderId="65" xfId="0" applyNumberFormat="1" applyFont="1" applyFill="1" applyBorder="1" applyProtection="1">
      <protection locked="0"/>
    </xf>
    <xf numFmtId="168" fontId="3" fillId="24" borderId="48" xfId="0" applyNumberFormat="1" applyFont="1" applyFill="1" applyBorder="1" applyProtection="1">
      <protection locked="0"/>
    </xf>
    <xf numFmtId="168" fontId="3" fillId="0" borderId="65" xfId="0" applyNumberFormat="1" applyFont="1" applyBorder="1" applyProtection="1">
      <protection locked="0"/>
    </xf>
    <xf numFmtId="168" fontId="3" fillId="0" borderId="48" xfId="0" applyNumberFormat="1" applyFont="1" applyBorder="1" applyProtection="1">
      <protection locked="0"/>
    </xf>
    <xf numFmtId="168" fontId="3" fillId="0" borderId="94" xfId="98" applyNumberFormat="1" applyFont="1" applyBorder="1" applyProtection="1">
      <protection locked="0"/>
    </xf>
    <xf numFmtId="168" fontId="3" fillId="0" borderId="81" xfId="98" applyNumberFormat="1" applyFont="1" applyBorder="1" applyProtection="1">
      <protection locked="0"/>
    </xf>
    <xf numFmtId="168" fontId="3" fillId="0" borderId="141" xfId="98" applyNumberFormat="1" applyFont="1" applyBorder="1" applyProtection="1">
      <protection locked="0"/>
    </xf>
    <xf numFmtId="168" fontId="3" fillId="0" borderId="42" xfId="98" applyNumberFormat="1" applyFont="1" applyBorder="1" applyProtection="1">
      <protection locked="0"/>
    </xf>
    <xf numFmtId="168" fontId="3" fillId="0" borderId="54" xfId="98" applyNumberFormat="1" applyFont="1" applyBorder="1" applyProtection="1">
      <protection locked="0"/>
    </xf>
    <xf numFmtId="168" fontId="3" fillId="0" borderId="84" xfId="98" applyNumberFormat="1" applyFont="1" applyBorder="1" applyProtection="1">
      <protection locked="0"/>
    </xf>
    <xf numFmtId="168" fontId="3" fillId="0" borderId="79" xfId="98" applyNumberFormat="1" applyFont="1" applyBorder="1" applyProtection="1">
      <protection locked="0"/>
    </xf>
    <xf numFmtId="168" fontId="3" fillId="0" borderId="88" xfId="98" applyNumberFormat="1" applyFont="1" applyBorder="1" applyProtection="1">
      <protection locked="0"/>
    </xf>
    <xf numFmtId="168" fontId="3" fillId="0" borderId="87" xfId="98" applyNumberFormat="1" applyFont="1" applyBorder="1" applyProtection="1">
      <protection locked="0"/>
    </xf>
    <xf numFmtId="168" fontId="3" fillId="0" borderId="66" xfId="0" applyNumberFormat="1" applyFont="1" applyBorder="1" applyProtection="1">
      <protection locked="0"/>
    </xf>
    <xf numFmtId="168" fontId="3" fillId="0" borderId="67" xfId="0" applyNumberFormat="1" applyFont="1" applyBorder="1" applyProtection="1">
      <protection locked="0"/>
    </xf>
    <xf numFmtId="168" fontId="3" fillId="0" borderId="68" xfId="0" applyNumberFormat="1" applyFont="1" applyBorder="1" applyProtection="1">
      <protection locked="0"/>
    </xf>
    <xf numFmtId="0" fontId="6" fillId="0" borderId="109" xfId="0" applyFont="1" applyBorder="1" applyAlignment="1">
      <alignment horizontal="center" vertical="center"/>
    </xf>
    <xf numFmtId="0" fontId="24" fillId="0" borderId="80" xfId="0" applyFont="1" applyBorder="1" applyAlignment="1">
      <alignment horizontal="center"/>
    </xf>
    <xf numFmtId="0" fontId="24" fillId="0" borderId="0" xfId="0" applyFont="1" applyAlignment="1">
      <alignment horizontal="center"/>
    </xf>
    <xf numFmtId="0" fontId="24" fillId="0" borderId="139" xfId="0" applyFont="1" applyBorder="1" applyAlignment="1">
      <alignment horizontal="center"/>
    </xf>
    <xf numFmtId="0" fontId="15" fillId="0" borderId="80" xfId="0" applyFont="1" applyBorder="1" applyAlignment="1">
      <alignment horizontal="center"/>
    </xf>
    <xf numFmtId="0" fontId="24" fillId="0" borderId="63" xfId="0" applyFont="1" applyBorder="1" applyAlignment="1">
      <alignment horizontal="center"/>
    </xf>
    <xf numFmtId="0" fontId="24" fillId="0" borderId="58" xfId="0" applyFont="1" applyBorder="1" applyAlignment="1">
      <alignment horizontal="center"/>
    </xf>
    <xf numFmtId="0" fontId="24" fillId="0" borderId="87" xfId="0" applyFont="1" applyBorder="1" applyAlignment="1">
      <alignment horizontal="center"/>
    </xf>
    <xf numFmtId="0" fontId="24" fillId="0" borderId="154" xfId="0" applyFont="1" applyBorder="1" applyAlignment="1">
      <alignment horizontal="center"/>
    </xf>
    <xf numFmtId="3" fontId="24" fillId="0" borderId="80" xfId="0" applyNumberFormat="1" applyFont="1" applyBorder="1" applyAlignment="1">
      <alignment horizontal="center"/>
    </xf>
    <xf numFmtId="0" fontId="7" fillId="0" borderId="0" xfId="0" applyFont="1" applyAlignment="1">
      <alignment vertical="top"/>
    </xf>
    <xf numFmtId="0" fontId="18" fillId="0" borderId="26" xfId="0" applyFont="1" applyBorder="1" applyAlignment="1">
      <alignment horizontal="center" vertical="center" wrapText="1"/>
    </xf>
    <xf numFmtId="0" fontId="2" fillId="0" borderId="0" xfId="0" applyFont="1" applyAlignment="1">
      <alignment wrapText="1"/>
    </xf>
    <xf numFmtId="0" fontId="2" fillId="0" borderId="0" xfId="0" applyFont="1"/>
    <xf numFmtId="0" fontId="23" fillId="0" borderId="20" xfId="0" applyFont="1" applyBorder="1" applyAlignment="1">
      <alignment horizontal="left" wrapText="1"/>
    </xf>
    <xf numFmtId="0" fontId="23" fillId="0" borderId="0" xfId="0" applyFont="1" applyAlignment="1">
      <alignment horizontal="left" wrapText="1"/>
    </xf>
    <xf numFmtId="0" fontId="23" fillId="0" borderId="40" xfId="0" applyFont="1" applyBorder="1" applyAlignment="1">
      <alignment horizontal="left" wrapText="1"/>
    </xf>
    <xf numFmtId="0" fontId="3" fillId="0" borderId="120" xfId="0" applyFont="1" applyBorder="1"/>
    <xf numFmtId="0" fontId="2" fillId="0" borderId="120" xfId="0" applyFont="1" applyBorder="1" applyAlignment="1">
      <alignment vertical="top" wrapText="1"/>
    </xf>
    <xf numFmtId="0" fontId="2" fillId="0" borderId="120" xfId="0" applyFont="1" applyBorder="1"/>
    <xf numFmtId="0" fontId="127" fillId="0" borderId="97" xfId="0" applyFont="1" applyBorder="1" applyAlignment="1">
      <alignment horizontal="center" vertical="center" wrapText="1"/>
    </xf>
    <xf numFmtId="0" fontId="127" fillId="0" borderId="150" xfId="0" applyFont="1" applyBorder="1" applyAlignment="1">
      <alignment horizontal="center" vertical="center" wrapText="1"/>
    </xf>
    <xf numFmtId="0" fontId="127" fillId="0" borderId="128" xfId="0" applyFont="1" applyBorder="1" applyAlignment="1">
      <alignment horizontal="center" vertical="center" wrapText="1"/>
    </xf>
    <xf numFmtId="0" fontId="127" fillId="0" borderId="72" xfId="0" applyFont="1" applyBorder="1" applyAlignment="1">
      <alignment horizontal="center" vertical="center" wrapText="1"/>
    </xf>
    <xf numFmtId="38" fontId="3" fillId="0" borderId="35" xfId="60" applyNumberFormat="1" applyFont="1" applyBorder="1" applyAlignment="1"/>
    <xf numFmtId="0" fontId="7" fillId="0" borderId="0" xfId="70" applyFont="1" applyAlignment="1">
      <alignment vertical="top" wrapText="1"/>
    </xf>
    <xf numFmtId="0" fontId="126" fillId="0" borderId="0" xfId="70" applyFont="1" applyAlignment="1" applyProtection="1">
      <alignment horizontal="centerContinuous" vertical="center"/>
      <protection hidden="1"/>
    </xf>
    <xf numFmtId="0" fontId="126" fillId="0" borderId="0" xfId="70" applyFont="1" applyAlignment="1" applyProtection="1">
      <alignment horizontal="center" vertical="center"/>
      <protection hidden="1"/>
    </xf>
    <xf numFmtId="0" fontId="126" fillId="0" borderId="0" xfId="85" applyFont="1" applyAlignment="1" applyProtection="1">
      <alignment horizontal="center" vertical="center"/>
      <protection hidden="1"/>
    </xf>
    <xf numFmtId="0" fontId="128" fillId="0" borderId="0" xfId="85" applyFont="1" applyAlignment="1">
      <alignment wrapText="1"/>
    </xf>
    <xf numFmtId="0" fontId="128" fillId="0" borderId="0" xfId="85" applyFont="1"/>
    <xf numFmtId="0" fontId="128" fillId="0" borderId="0" xfId="85" applyFont="1" applyAlignment="1">
      <alignment vertical="center" wrapText="1"/>
    </xf>
    <xf numFmtId="0" fontId="128" fillId="0" borderId="0" xfId="85" applyFont="1" applyAlignment="1">
      <alignment vertical="center"/>
    </xf>
    <xf numFmtId="0" fontId="129" fillId="0" borderId="0" xfId="85" applyFont="1" applyAlignment="1">
      <alignment vertical="center" wrapText="1"/>
    </xf>
    <xf numFmtId="0" fontId="130" fillId="0" borderId="0" xfId="85" applyFont="1" applyAlignment="1">
      <alignment vertical="center"/>
    </xf>
    <xf numFmtId="0" fontId="128" fillId="0" borderId="0" xfId="85" applyFont="1" applyAlignment="1" applyProtection="1">
      <alignment vertical="center"/>
      <protection hidden="1"/>
    </xf>
    <xf numFmtId="0" fontId="131" fillId="0" borderId="0" xfId="85" applyFont="1" applyAlignment="1">
      <alignment horizontal="center" vertical="center"/>
    </xf>
    <xf numFmtId="0" fontId="132" fillId="0" borderId="0" xfId="85" applyFont="1" applyAlignment="1">
      <alignment horizontal="center" vertical="center"/>
    </xf>
    <xf numFmtId="0" fontId="128" fillId="0" borderId="0" xfId="85" applyFont="1" applyAlignment="1" applyProtection="1">
      <alignment horizontal="center" vertical="center"/>
      <protection hidden="1"/>
    </xf>
    <xf numFmtId="0" fontId="130" fillId="0" borderId="0" xfId="85" applyFont="1" applyAlignment="1">
      <alignment horizontal="center" vertical="center"/>
    </xf>
    <xf numFmtId="0" fontId="133" fillId="0" borderId="0" xfId="85" applyFont="1" applyAlignment="1">
      <alignment vertical="center" wrapText="1"/>
    </xf>
    <xf numFmtId="14" fontId="130" fillId="0" borderId="35" xfId="70" applyNumberFormat="1" applyFont="1" applyBorder="1" applyAlignment="1" applyProtection="1">
      <alignment horizontal="center" vertical="center" wrapText="1"/>
      <protection locked="0"/>
    </xf>
    <xf numFmtId="14" fontId="128" fillId="0" borderId="0" xfId="85" applyNumberFormat="1" applyFont="1" applyAlignment="1">
      <alignment vertical="center"/>
    </xf>
    <xf numFmtId="0" fontId="129" fillId="0" borderId="0" xfId="85" applyFont="1" applyAlignment="1">
      <alignment horizontal="center" vertical="center" wrapText="1"/>
    </xf>
    <xf numFmtId="0" fontId="128" fillId="0" borderId="0" xfId="76" applyFont="1" applyAlignment="1">
      <alignment vertical="center"/>
    </xf>
    <xf numFmtId="0" fontId="128" fillId="0" borderId="0" xfId="76" applyFont="1" applyAlignment="1" applyProtection="1">
      <alignment horizontal="center" vertical="center"/>
      <protection hidden="1"/>
    </xf>
    <xf numFmtId="0" fontId="4" fillId="0" borderId="0" xfId="85" applyFont="1" applyAlignment="1">
      <alignment horizontal="center" vertical="center"/>
    </xf>
    <xf numFmtId="0" fontId="15" fillId="0" borderId="0" xfId="85" applyFont="1" applyAlignment="1">
      <alignment horizontal="center" vertical="center" wrapText="1"/>
    </xf>
    <xf numFmtId="0" fontId="134" fillId="0" borderId="0" xfId="85" applyFont="1" applyAlignment="1">
      <alignment horizontal="center" vertical="center" wrapText="1"/>
    </xf>
    <xf numFmtId="0" fontId="135" fillId="0" borderId="0" xfId="85" applyFont="1" applyAlignment="1">
      <alignment horizontal="center" vertical="center" wrapText="1"/>
    </xf>
    <xf numFmtId="0" fontId="136" fillId="0" borderId="0" xfId="85" applyFont="1" applyAlignment="1">
      <alignment horizontal="center" vertical="center"/>
    </xf>
    <xf numFmtId="0" fontId="137" fillId="0" borderId="0" xfId="76" applyFont="1" applyAlignment="1">
      <alignment vertical="center" wrapText="1"/>
    </xf>
    <xf numFmtId="0" fontId="128" fillId="0" borderId="0" xfId="70" applyFont="1" applyAlignment="1">
      <alignment horizontal="center" vertical="center"/>
    </xf>
    <xf numFmtId="0" fontId="135" fillId="0" borderId="0" xfId="85" applyFont="1"/>
    <xf numFmtId="0" fontId="130" fillId="0" borderId="0" xfId="85" applyFont="1"/>
    <xf numFmtId="0" fontId="126" fillId="0" borderId="0" xfId="76" applyFont="1" applyAlignment="1" applyProtection="1">
      <alignment horizontal="center" vertical="center"/>
      <protection hidden="1"/>
    </xf>
    <xf numFmtId="0" fontId="128" fillId="0" borderId="0" xfId="76" applyFont="1" applyAlignment="1">
      <alignment wrapText="1"/>
    </xf>
    <xf numFmtId="0" fontId="128" fillId="0" borderId="0" xfId="76" applyFont="1"/>
    <xf numFmtId="0" fontId="128" fillId="0" borderId="0" xfId="76" applyFont="1" applyAlignment="1">
      <alignment vertical="center" wrapText="1"/>
    </xf>
    <xf numFmtId="0" fontId="129" fillId="0" borderId="0" xfId="76" applyFont="1" applyAlignment="1">
      <alignment vertical="center" wrapText="1"/>
    </xf>
    <xf numFmtId="0" fontId="130" fillId="0" borderId="0" xfId="76" applyFont="1" applyAlignment="1">
      <alignment vertical="center"/>
    </xf>
    <xf numFmtId="0" fontId="128" fillId="0" borderId="0" xfId="76" applyFont="1" applyAlignment="1" applyProtection="1">
      <alignment vertical="center"/>
      <protection hidden="1"/>
    </xf>
    <xf numFmtId="0" fontId="131" fillId="0" borderId="0" xfId="76" applyFont="1" applyAlignment="1">
      <alignment horizontal="center" vertical="center"/>
    </xf>
    <xf numFmtId="0" fontId="132" fillId="0" borderId="0" xfId="76" applyFont="1" applyAlignment="1">
      <alignment horizontal="center" vertical="center"/>
    </xf>
    <xf numFmtId="0" fontId="130" fillId="0" borderId="35" xfId="76" applyFont="1" applyBorder="1" applyAlignment="1" applyProtection="1">
      <alignment horizontal="center" vertical="center" wrapText="1"/>
      <protection locked="0"/>
    </xf>
    <xf numFmtId="0" fontId="130" fillId="0" borderId="0" xfId="76" applyFont="1" applyAlignment="1">
      <alignment horizontal="center" vertical="center"/>
    </xf>
    <xf numFmtId="0" fontId="133" fillId="0" borderId="0" xfId="76" applyFont="1" applyAlignment="1">
      <alignment vertical="center" wrapText="1"/>
    </xf>
    <xf numFmtId="0" fontId="129" fillId="0" borderId="0" xfId="76" applyFont="1" applyAlignment="1">
      <alignment horizontal="center" vertical="center" wrapText="1"/>
    </xf>
    <xf numFmtId="0" fontId="4" fillId="0" borderId="0" xfId="76" applyFont="1" applyAlignment="1">
      <alignment horizontal="center" vertical="center"/>
    </xf>
    <xf numFmtId="0" fontId="26" fillId="0" borderId="0" xfId="76" applyFont="1" applyAlignment="1">
      <alignment vertical="center" wrapText="1"/>
    </xf>
    <xf numFmtId="0" fontId="138" fillId="0" borderId="0" xfId="76" applyFont="1" applyAlignment="1">
      <alignment vertical="center" wrapText="1"/>
    </xf>
    <xf numFmtId="0" fontId="15" fillId="0" borderId="0" xfId="76" applyFont="1" applyAlignment="1">
      <alignment horizontal="center" vertical="center" wrapText="1"/>
    </xf>
    <xf numFmtId="0" fontId="134" fillId="0" borderId="0" xfId="76" applyFont="1" applyAlignment="1">
      <alignment horizontal="center" vertical="center" wrapText="1"/>
    </xf>
    <xf numFmtId="0" fontId="135" fillId="0" borderId="0" xfId="76" applyFont="1" applyAlignment="1">
      <alignment horizontal="center" vertical="center" wrapText="1"/>
    </xf>
    <xf numFmtId="0" fontId="136" fillId="0" borderId="0" xfId="76" applyFont="1" applyAlignment="1">
      <alignment horizontal="center" vertical="center"/>
    </xf>
    <xf numFmtId="0" fontId="139" fillId="0" borderId="0" xfId="76" applyFont="1" applyAlignment="1">
      <alignment horizontal="center" vertical="center" wrapText="1"/>
    </xf>
    <xf numFmtId="0" fontId="128" fillId="0" borderId="0" xfId="76" applyFont="1" applyAlignment="1">
      <alignment horizontal="center" vertical="center" wrapText="1"/>
    </xf>
    <xf numFmtId="0" fontId="135" fillId="0" borderId="0" xfId="76" applyFont="1" applyAlignment="1">
      <alignment vertical="center"/>
    </xf>
    <xf numFmtId="0" fontId="130" fillId="0" borderId="0" xfId="76" applyFont="1" applyAlignment="1">
      <alignment vertical="center" wrapText="1"/>
    </xf>
    <xf numFmtId="0" fontId="135" fillId="0" borderId="0" xfId="76" applyFont="1" applyAlignment="1">
      <alignment horizontal="center" vertical="center"/>
    </xf>
    <xf numFmtId="0" fontId="135" fillId="0" borderId="0" xfId="76" applyFont="1"/>
    <xf numFmtId="0" fontId="130" fillId="0" borderId="0" xfId="76" applyFont="1"/>
    <xf numFmtId="14" fontId="128" fillId="0" borderId="0" xfId="76" applyNumberFormat="1" applyFont="1" applyAlignment="1">
      <alignment vertical="center"/>
    </xf>
    <xf numFmtId="0" fontId="124" fillId="0" borderId="0" xfId="70" applyFont="1" applyAlignment="1">
      <alignment horizontal="left" vertical="top"/>
    </xf>
    <xf numFmtId="0" fontId="3" fillId="0" borderId="0" xfId="70" applyFont="1"/>
    <xf numFmtId="0" fontId="3" fillId="0" borderId="0" xfId="70" applyFont="1" applyAlignment="1">
      <alignment horizontal="center" vertical="center"/>
    </xf>
    <xf numFmtId="0" fontId="20" fillId="0" borderId="0" xfId="70" applyFont="1"/>
    <xf numFmtId="2" fontId="3" fillId="0" borderId="35" xfId="60" applyNumberFormat="1" applyFont="1" applyBorder="1" applyAlignment="1"/>
    <xf numFmtId="0" fontId="3" fillId="0" borderId="41" xfId="0" applyFont="1" applyBorder="1" applyAlignment="1">
      <alignment horizontal="centerContinuous" vertical="center" wrapText="1"/>
    </xf>
    <xf numFmtId="3" fontId="15" fillId="0" borderId="156" xfId="0" applyNumberFormat="1" applyFont="1" applyBorder="1" applyProtection="1">
      <protection locked="0"/>
    </xf>
    <xf numFmtId="0" fontId="15" fillId="0" borderId="157" xfId="0" applyFont="1" applyBorder="1" applyAlignment="1" applyProtection="1">
      <alignment wrapText="1"/>
      <protection locked="0"/>
    </xf>
    <xf numFmtId="0" fontId="4" fillId="0" borderId="0" xfId="75" applyFont="1" applyAlignment="1">
      <alignment horizontal="center" vertical="center"/>
    </xf>
    <xf numFmtId="0" fontId="26" fillId="0" borderId="0" xfId="75" applyFont="1" applyAlignment="1">
      <alignment vertical="center" wrapText="1"/>
    </xf>
    <xf numFmtId="0" fontId="3" fillId="0" borderId="0" xfId="75" applyFont="1" applyAlignment="1">
      <alignment horizontal="center" vertical="center"/>
    </xf>
    <xf numFmtId="0" fontId="128" fillId="0" borderId="0" xfId="78" applyFont="1" applyAlignment="1">
      <alignment vertical="center"/>
    </xf>
    <xf numFmtId="0" fontId="128" fillId="0" borderId="0" xfId="75" applyFont="1" applyAlignment="1">
      <alignment vertical="center"/>
    </xf>
    <xf numFmtId="0" fontId="131" fillId="0" borderId="0" xfId="78" applyFont="1" applyAlignment="1">
      <alignment horizontal="center" vertical="center"/>
    </xf>
    <xf numFmtId="0" fontId="132" fillId="0" borderId="0" xfId="78" applyFont="1" applyAlignment="1">
      <alignment horizontal="center" vertical="center"/>
    </xf>
    <xf numFmtId="3" fontId="130" fillId="0" borderId="35" xfId="78" applyNumberFormat="1" applyFont="1" applyBorder="1" applyAlignment="1" applyProtection="1">
      <alignment horizontal="center" vertical="center" wrapText="1"/>
      <protection locked="0"/>
    </xf>
    <xf numFmtId="0" fontId="13" fillId="0" borderId="65" xfId="0" applyFont="1" applyBorder="1" applyAlignment="1">
      <alignment horizontal="centerContinuous" vertical="center" wrapText="1"/>
    </xf>
    <xf numFmtId="0" fontId="13" fillId="0" borderId="85" xfId="0" applyFont="1" applyBorder="1" applyAlignment="1">
      <alignment horizontal="centerContinuous" vertical="center"/>
    </xf>
    <xf numFmtId="0" fontId="13" fillId="0" borderId="65" xfId="0" applyFont="1" applyBorder="1" applyAlignment="1">
      <alignment horizontal="centerContinuous" vertical="center"/>
    </xf>
    <xf numFmtId="164" fontId="5" fillId="0" borderId="35" xfId="90" applyFont="1" applyBorder="1" applyAlignment="1">
      <alignment horizontal="center" vertical="center"/>
    </xf>
    <xf numFmtId="0" fontId="3" fillId="0" borderId="20" xfId="70" applyFont="1" applyBorder="1" applyAlignment="1">
      <alignment vertical="center" wrapText="1"/>
    </xf>
    <xf numFmtId="0" fontId="3" fillId="0" borderId="0" xfId="76" applyFont="1" applyAlignment="1">
      <alignment horizontal="center" vertical="center"/>
    </xf>
    <xf numFmtId="0" fontId="129" fillId="0" borderId="0" xfId="78" applyFont="1" applyAlignment="1">
      <alignment vertical="center" wrapText="1"/>
    </xf>
    <xf numFmtId="0" fontId="130" fillId="0" borderId="0" xfId="78" applyFont="1" applyAlignment="1">
      <alignment vertical="center"/>
    </xf>
    <xf numFmtId="0" fontId="134" fillId="0" borderId="0" xfId="78" applyFont="1" applyAlignment="1">
      <alignment horizontal="center" vertical="center" wrapText="1"/>
    </xf>
    <xf numFmtId="0" fontId="135" fillId="0" borderId="0" xfId="78" applyFont="1" applyAlignment="1">
      <alignment horizontal="center" vertical="center" wrapText="1"/>
    </xf>
    <xf numFmtId="0" fontId="15" fillId="0" borderId="0" xfId="85" applyFont="1" applyAlignment="1">
      <alignment vertical="center" wrapText="1"/>
    </xf>
    <xf numFmtId="0" fontId="15" fillId="0" borderId="0" xfId="78" applyFont="1" applyAlignment="1">
      <alignment vertical="center" wrapText="1"/>
    </xf>
    <xf numFmtId="0" fontId="134" fillId="0" borderId="0" xfId="78" applyFont="1" applyAlignment="1">
      <alignment vertical="center" wrapText="1"/>
    </xf>
    <xf numFmtId="0" fontId="3" fillId="0" borderId="12" xfId="93" applyFont="1" applyBorder="1" applyAlignment="1">
      <alignment horizontal="center" vertical="center"/>
    </xf>
    <xf numFmtId="1" fontId="15" fillId="26" borderId="35" xfId="90" applyNumberFormat="1" applyFont="1" applyFill="1" applyBorder="1" applyAlignment="1" applyProtection="1">
      <alignment vertical="center"/>
      <protection locked="0"/>
    </xf>
    <xf numFmtId="0" fontId="140" fillId="0" borderId="0" xfId="78" applyFont="1" applyAlignment="1">
      <alignment vertical="center"/>
    </xf>
    <xf numFmtId="0" fontId="15" fillId="0" borderId="0" xfId="76" applyFont="1" applyAlignment="1">
      <alignment vertical="center" wrapText="1"/>
    </xf>
    <xf numFmtId="0" fontId="135" fillId="0" borderId="0" xfId="80" applyFont="1"/>
    <xf numFmtId="0" fontId="128" fillId="0" borderId="0" xfId="80" applyFont="1"/>
    <xf numFmtId="0" fontId="130" fillId="0" borderId="0" xfId="80" applyFont="1"/>
    <xf numFmtId="0" fontId="139" fillId="0" borderId="0" xfId="80" applyFont="1" applyAlignment="1">
      <alignment wrapText="1"/>
    </xf>
    <xf numFmtId="172" fontId="132" fillId="24" borderId="35" xfId="0" applyNumberFormat="1" applyFont="1" applyFill="1" applyBorder="1" applyAlignment="1">
      <alignment horizontal="center" vertical="center"/>
    </xf>
    <xf numFmtId="0" fontId="6" fillId="0" borderId="0" xfId="0" applyFont="1" applyAlignment="1">
      <alignment vertical="center"/>
    </xf>
    <xf numFmtId="0" fontId="132" fillId="0" borderId="0" xfId="0" applyFont="1" applyAlignment="1">
      <alignment vertical="center"/>
    </xf>
    <xf numFmtId="164" fontId="141" fillId="0" borderId="0" xfId="90" applyFont="1" applyAlignment="1">
      <alignment vertical="center"/>
    </xf>
    <xf numFmtId="164" fontId="141" fillId="0" borderId="0" xfId="90" applyFont="1" applyAlignment="1">
      <alignment horizontal="center" vertical="center"/>
    </xf>
    <xf numFmtId="0" fontId="3" fillId="0" borderId="0" xfId="85" applyFont="1" applyAlignment="1">
      <alignment horizontal="center" vertical="center"/>
    </xf>
    <xf numFmtId="0" fontId="26" fillId="0" borderId="0" xfId="85" applyFont="1" applyAlignment="1">
      <alignment vertical="center" wrapText="1"/>
    </xf>
    <xf numFmtId="0" fontId="6" fillId="0" borderId="123" xfId="0" applyFont="1" applyBorder="1" applyAlignment="1">
      <alignment horizontal="centerContinuous" vertical="center"/>
    </xf>
    <xf numFmtId="0" fontId="6" fillId="0" borderId="123" xfId="0" applyFont="1" applyBorder="1" applyAlignment="1">
      <alignment horizontal="centerContinuous" vertical="center" wrapText="1"/>
    </xf>
    <xf numFmtId="0" fontId="6" fillId="0" borderId="123" xfId="0" applyFont="1" applyBorder="1" applyAlignment="1">
      <alignment horizontal="center" vertical="center" wrapText="1"/>
    </xf>
    <xf numFmtId="0" fontId="2" fillId="0" borderId="123" xfId="0" applyFont="1" applyBorder="1" applyAlignment="1">
      <alignment horizontal="centerContinuous" vertical="center"/>
    </xf>
    <xf numFmtId="0" fontId="2" fillId="0" borderId="123" xfId="0" applyFont="1" applyBorder="1" applyAlignment="1">
      <alignment horizontal="centerContinuous" vertical="center" wrapText="1"/>
    </xf>
    <xf numFmtId="172" fontId="127" fillId="24" borderId="35" xfId="0" applyNumberFormat="1" applyFont="1" applyFill="1" applyBorder="1" applyAlignment="1">
      <alignment horizontal="center" vertical="center"/>
    </xf>
    <xf numFmtId="172" fontId="132" fillId="24" borderId="51" xfId="0" applyNumberFormat="1" applyFont="1" applyFill="1" applyBorder="1" applyAlignment="1">
      <alignment horizontal="center" vertical="center"/>
    </xf>
    <xf numFmtId="0" fontId="127" fillId="0" borderId="123" xfId="0" applyFont="1" applyBorder="1" applyAlignment="1">
      <alignment horizontal="centerContinuous" vertical="center" wrapText="1"/>
    </xf>
    <xf numFmtId="0" fontId="127" fillId="0" borderId="123" xfId="0" applyFont="1" applyBorder="1" applyAlignment="1">
      <alignment horizontal="center" vertical="center" wrapText="1"/>
    </xf>
    <xf numFmtId="0" fontId="3" fillId="0" borderId="108" xfId="0" applyFont="1" applyBorder="1" applyAlignment="1">
      <alignment horizontal="centerContinuous"/>
    </xf>
    <xf numFmtId="0" fontId="142" fillId="0" borderId="159" xfId="75" applyFont="1" applyBorder="1" applyAlignment="1">
      <alignment wrapText="1"/>
    </xf>
    <xf numFmtId="0" fontId="137" fillId="0" borderId="0" xfId="85" applyFont="1" applyAlignment="1">
      <alignment vertical="center"/>
    </xf>
    <xf numFmtId="0" fontId="137" fillId="0" borderId="0" xfId="78" applyFont="1" applyAlignment="1">
      <alignment vertical="center"/>
    </xf>
    <xf numFmtId="0" fontId="137" fillId="0" borderId="0" xfId="76" applyFont="1" applyAlignment="1">
      <alignment vertical="center"/>
    </xf>
    <xf numFmtId="0" fontId="6" fillId="0" borderId="87" xfId="0" applyFont="1" applyBorder="1" applyAlignment="1">
      <alignment vertical="center"/>
    </xf>
    <xf numFmtId="0" fontId="143" fillId="34" borderId="0" xfId="0" applyFont="1" applyFill="1" applyAlignment="1">
      <alignment horizontal="center" vertical="center" wrapText="1"/>
    </xf>
    <xf numFmtId="0" fontId="125" fillId="34" borderId="0" xfId="0" applyFont="1" applyFill="1"/>
    <xf numFmtId="0" fontId="125" fillId="34" borderId="0" xfId="0" applyFont="1" applyFill="1" applyAlignment="1">
      <alignment horizontal="center" vertical="center"/>
    </xf>
    <xf numFmtId="0" fontId="11" fillId="0" borderId="0" xfId="0" applyFont="1" applyAlignment="1">
      <alignment vertical="center"/>
    </xf>
    <xf numFmtId="0" fontId="3" fillId="0" borderId="63" xfId="0" applyFont="1" applyBorder="1" applyAlignment="1">
      <alignment vertical="center"/>
    </xf>
    <xf numFmtId="0" fontId="125" fillId="33" borderId="0" xfId="0" applyFont="1" applyFill="1"/>
    <xf numFmtId="0" fontId="144" fillId="0" borderId="0" xfId="76" applyFont="1" applyAlignment="1">
      <alignment vertical="center"/>
    </xf>
    <xf numFmtId="164" fontId="146" fillId="0" borderId="0" xfId="90" applyFont="1" applyAlignment="1">
      <alignment vertical="center"/>
    </xf>
    <xf numFmtId="0" fontId="3" fillId="0" borderId="49" xfId="70" applyFont="1" applyBorder="1" applyAlignment="1">
      <alignment horizontal="left"/>
    </xf>
    <xf numFmtId="0" fontId="52" fillId="33" borderId="26" xfId="0" applyFont="1" applyFill="1" applyBorder="1" applyAlignment="1">
      <alignment horizontal="center" vertical="center" wrapText="1"/>
    </xf>
    <xf numFmtId="0" fontId="18" fillId="33" borderId="26" xfId="0" applyFont="1" applyFill="1" applyBorder="1" applyAlignment="1">
      <alignment horizontal="center" vertical="center" wrapText="1"/>
    </xf>
    <xf numFmtId="0" fontId="52" fillId="33" borderId="121" xfId="0" applyFont="1" applyFill="1" applyBorder="1" applyAlignment="1">
      <alignment horizontal="center" vertical="center" wrapText="1"/>
    </xf>
    <xf numFmtId="0" fontId="58" fillId="33" borderId="31" xfId="0" applyFont="1" applyFill="1" applyBorder="1" applyAlignment="1">
      <alignment horizontal="center" vertical="center" wrapText="1"/>
    </xf>
    <xf numFmtId="0" fontId="58" fillId="33" borderId="122" xfId="0" applyFont="1" applyFill="1" applyBorder="1" applyAlignment="1">
      <alignment horizontal="center" vertical="center" wrapText="1"/>
    </xf>
    <xf numFmtId="0" fontId="19" fillId="24" borderId="63" xfId="0" applyFont="1" applyFill="1" applyBorder="1" applyAlignment="1">
      <alignment horizontal="left" wrapText="1"/>
    </xf>
    <xf numFmtId="0" fontId="112" fillId="0" borderId="0" xfId="70" applyFont="1" applyAlignment="1">
      <alignment vertical="top"/>
    </xf>
    <xf numFmtId="0" fontId="112" fillId="0" borderId="0" xfId="70" applyFont="1" applyAlignment="1">
      <alignment vertical="top" wrapText="1"/>
    </xf>
    <xf numFmtId="167" fontId="3" fillId="0" borderId="0" xfId="70" applyNumberFormat="1" applyFont="1"/>
    <xf numFmtId="0" fontId="147" fillId="34" borderId="0" xfId="70" applyFont="1" applyFill="1" applyAlignment="1">
      <alignment horizontal="center" vertical="center"/>
    </xf>
    <xf numFmtId="0" fontId="3" fillId="0" borderId="0" xfId="70" applyFont="1" applyAlignment="1">
      <alignment horizontal="center"/>
    </xf>
    <xf numFmtId="0" fontId="3" fillId="0" borderId="0" xfId="70" applyFont="1" applyAlignment="1">
      <alignment vertical="center"/>
    </xf>
    <xf numFmtId="0" fontId="119" fillId="0" borderId="0" xfId="70" applyFont="1" applyAlignment="1">
      <alignment horizontal="centerContinuous" vertical="center"/>
    </xf>
    <xf numFmtId="0" fontId="0" fillId="0" borderId="0" xfId="0" applyAlignment="1">
      <alignment horizontal="centerContinuous" vertical="center"/>
    </xf>
    <xf numFmtId="0" fontId="26" fillId="0" borderId="0" xfId="70" applyFont="1" applyAlignment="1">
      <alignment horizontal="center" vertical="center"/>
    </xf>
    <xf numFmtId="0" fontId="5" fillId="0" borderId="124" xfId="70" applyFont="1" applyBorder="1" applyAlignment="1">
      <alignment horizontal="centerContinuous" vertical="center"/>
    </xf>
    <xf numFmtId="0" fontId="5" fillId="0" borderId="124" xfId="70" applyFont="1" applyBorder="1" applyAlignment="1">
      <alignment horizontal="centerContinuous" vertical="center" wrapText="1"/>
    </xf>
    <xf numFmtId="0" fontId="3" fillId="0" borderId="12" xfId="70" applyFont="1" applyBorder="1" applyAlignment="1">
      <alignment horizontal="centerContinuous"/>
    </xf>
    <xf numFmtId="0" fontId="3" fillId="27" borderId="159" xfId="70" applyFont="1" applyFill="1" applyBorder="1"/>
    <xf numFmtId="0" fontId="37" fillId="0" borderId="123" xfId="70" applyFont="1" applyBorder="1" applyAlignment="1">
      <alignment horizontal="center" vertical="center"/>
    </xf>
    <xf numFmtId="0" fontId="113" fillId="0" borderId="0" xfId="70" applyFont="1" applyAlignment="1">
      <alignment vertical="center" wrapText="1"/>
    </xf>
    <xf numFmtId="0" fontId="66" fillId="0" borderId="0" xfId="70" applyFont="1" applyAlignment="1">
      <alignment vertical="center" wrapText="1"/>
    </xf>
    <xf numFmtId="0" fontId="3" fillId="0" borderId="49" xfId="70" applyFont="1" applyBorder="1" applyAlignment="1">
      <alignment horizontal="center"/>
    </xf>
    <xf numFmtId="0" fontId="11" fillId="0" borderId="35" xfId="70" applyFont="1" applyBorder="1" applyAlignment="1">
      <alignment horizontal="center"/>
    </xf>
    <xf numFmtId="0" fontId="3" fillId="0" borderId="35" xfId="70" applyFont="1" applyBorder="1" applyAlignment="1">
      <alignment horizontal="center"/>
    </xf>
    <xf numFmtId="0" fontId="25" fillId="27" borderId="159" xfId="70" applyFont="1" applyFill="1" applyBorder="1" applyAlignment="1">
      <alignment horizontal="center" vertical="center" wrapText="1"/>
    </xf>
    <xf numFmtId="0" fontId="11" fillId="0" borderId="63" xfId="70" applyFont="1" applyBorder="1" applyAlignment="1">
      <alignment horizontal="center"/>
    </xf>
    <xf numFmtId="0" fontId="3" fillId="0" borderId="72" xfId="70" applyFont="1" applyBorder="1" applyAlignment="1">
      <alignment horizontal="center"/>
    </xf>
    <xf numFmtId="0" fontId="2" fillId="0" borderId="160" xfId="70" applyFont="1" applyBorder="1"/>
    <xf numFmtId="0" fontId="2" fillId="0" borderId="139" xfId="70" applyFont="1" applyBorder="1"/>
    <xf numFmtId="0" fontId="2" fillId="0" borderId="155" xfId="70" applyFont="1" applyBorder="1"/>
    <xf numFmtId="0" fontId="26" fillId="27" borderId="159" xfId="70" applyFont="1" applyFill="1" applyBorder="1" applyAlignment="1">
      <alignment horizontal="center" vertical="center" wrapText="1"/>
    </xf>
    <xf numFmtId="0" fontId="26" fillId="0" borderId="0" xfId="70" applyFont="1" applyAlignment="1">
      <alignment horizontal="centerContinuous" vertical="center"/>
    </xf>
    <xf numFmtId="0" fontId="3" fillId="0" borderId="0" xfId="70" applyFont="1" applyAlignment="1">
      <alignment horizontal="centerContinuous" vertical="center"/>
    </xf>
    <xf numFmtId="0" fontId="98" fillId="0" borderId="38" xfId="70" applyFont="1" applyBorder="1" applyAlignment="1">
      <alignment horizontal="left" vertical="top" wrapText="1"/>
    </xf>
    <xf numFmtId="0" fontId="5" fillId="0" borderId="80" xfId="70" applyFont="1" applyBorder="1"/>
    <xf numFmtId="0" fontId="5" fillId="0" borderId="70" xfId="70" applyFont="1" applyBorder="1"/>
    <xf numFmtId="0" fontId="15" fillId="27" borderId="159" xfId="70" applyFont="1" applyFill="1" applyBorder="1" applyAlignment="1">
      <alignment horizontal="center" vertical="center" wrapText="1"/>
    </xf>
    <xf numFmtId="0" fontId="98" fillId="0" borderId="38" xfId="70" applyFont="1" applyBorder="1" applyAlignment="1">
      <alignment horizontal="left" vertical="top"/>
    </xf>
    <xf numFmtId="0" fontId="98" fillId="0" borderId="80" xfId="70" applyFont="1" applyBorder="1" applyAlignment="1">
      <alignment horizontal="left" vertical="top"/>
    </xf>
    <xf numFmtId="0" fontId="98" fillId="0" borderId="70" xfId="70" applyFont="1" applyBorder="1" applyAlignment="1">
      <alignment horizontal="left" vertical="top"/>
    </xf>
    <xf numFmtId="3" fontId="3" fillId="0" borderId="72" xfId="70" applyNumberFormat="1" applyFont="1" applyBorder="1" applyProtection="1">
      <protection locked="0"/>
    </xf>
    <xf numFmtId="3" fontId="3" fillId="0" borderId="0" xfId="70" applyNumberFormat="1" applyFont="1" applyAlignment="1">
      <alignment horizontal="center" vertical="center"/>
    </xf>
    <xf numFmtId="0" fontId="3" fillId="0" borderId="49" xfId="85" applyFont="1" applyBorder="1" applyAlignment="1">
      <alignment horizontal="left"/>
    </xf>
    <xf numFmtId="0" fontId="3" fillId="0" borderId="35" xfId="85" applyFont="1" applyBorder="1" applyAlignment="1">
      <alignment horizontal="center"/>
    </xf>
    <xf numFmtId="0" fontId="3" fillId="0" borderId="49" xfId="72" applyFont="1" applyBorder="1" applyAlignment="1">
      <alignment horizontal="left"/>
    </xf>
    <xf numFmtId="0" fontId="3" fillId="0" borderId="63" xfId="72" applyFont="1" applyBorder="1" applyAlignment="1">
      <alignment horizontal="center"/>
    </xf>
    <xf numFmtId="0" fontId="37" fillId="0" borderId="123" xfId="70" applyFont="1" applyBorder="1" applyAlignment="1">
      <alignment horizontal="center" vertical="center" wrapText="1"/>
    </xf>
    <xf numFmtId="0" fontId="113" fillId="0" borderId="0" xfId="85" applyFont="1" applyAlignment="1">
      <alignment vertical="center" wrapText="1"/>
    </xf>
    <xf numFmtId="0" fontId="3" fillId="34" borderId="0" xfId="70" applyFont="1" applyFill="1" applyAlignment="1">
      <alignment horizontal="center"/>
    </xf>
    <xf numFmtId="3" fontId="3" fillId="34" borderId="0" xfId="70" applyNumberFormat="1" applyFont="1" applyFill="1" applyAlignment="1">
      <alignment horizontal="center" vertical="center"/>
    </xf>
    <xf numFmtId="0" fontId="33" fillId="0" borderId="161" xfId="70" applyFont="1" applyBorder="1" applyAlignment="1">
      <alignment horizontal="left"/>
    </xf>
    <xf numFmtId="0" fontId="70" fillId="0" borderId="162" xfId="85" applyFont="1" applyBorder="1"/>
    <xf numFmtId="168" fontId="33" fillId="0" borderId="150" xfId="85" applyNumberFormat="1" applyFont="1" applyBorder="1" applyAlignment="1">
      <alignment vertical="center"/>
    </xf>
    <xf numFmtId="0" fontId="128" fillId="0" borderId="0" xfId="85" applyFont="1" applyAlignment="1">
      <alignment horizontal="center"/>
    </xf>
    <xf numFmtId="0" fontId="5" fillId="0" borderId="15" xfId="85" applyFont="1" applyBorder="1" applyAlignment="1">
      <alignment horizontal="right"/>
    </xf>
    <xf numFmtId="0" fontId="116" fillId="0" borderId="120" xfId="85" applyFont="1" applyBorder="1" applyAlignment="1">
      <alignment horizontal="center"/>
    </xf>
    <xf numFmtId="168" fontId="5" fillId="0" borderId="76" xfId="85" applyNumberFormat="1" applyFont="1" applyBorder="1" applyAlignment="1">
      <alignment vertical="center"/>
    </xf>
    <xf numFmtId="0" fontId="2" fillId="0" borderId="159" xfId="70" applyFont="1" applyBorder="1" applyAlignment="1">
      <alignment horizontal="center" vertical="center" wrapText="1"/>
    </xf>
    <xf numFmtId="0" fontId="128" fillId="27" borderId="20" xfId="85" applyFont="1" applyFill="1" applyBorder="1"/>
    <xf numFmtId="0" fontId="128" fillId="27" borderId="0" xfId="85" applyFont="1" applyFill="1"/>
    <xf numFmtId="3" fontId="128" fillId="27" borderId="40" xfId="85" applyNumberFormat="1" applyFont="1" applyFill="1" applyBorder="1"/>
    <xf numFmtId="0" fontId="3" fillId="0" borderId="0" xfId="72" applyFont="1" applyAlignment="1">
      <alignment horizontal="center"/>
    </xf>
    <xf numFmtId="0" fontId="3" fillId="0" borderId="63" xfId="70" applyFont="1" applyBorder="1" applyAlignment="1">
      <alignment horizontal="center"/>
    </xf>
    <xf numFmtId="0" fontId="6" fillId="27" borderId="20" xfId="85" applyFont="1" applyFill="1" applyBorder="1" applyAlignment="1">
      <alignment horizontal="center"/>
    </xf>
    <xf numFmtId="0" fontId="142" fillId="0" borderId="159" xfId="75" applyFont="1" applyBorder="1" applyAlignment="1">
      <alignment horizontal="center"/>
    </xf>
    <xf numFmtId="0" fontId="113" fillId="0" borderId="0" xfId="85" applyFont="1" applyAlignment="1">
      <alignment horizontal="center" vertical="center" wrapText="1"/>
    </xf>
    <xf numFmtId="0" fontId="33" fillId="0" borderId="161" xfId="85" applyFont="1" applyBorder="1" applyAlignment="1">
      <alignment horizontal="right"/>
    </xf>
    <xf numFmtId="0" fontId="66" fillId="0" borderId="0" xfId="85" applyFont="1" applyAlignment="1">
      <alignment horizontal="center" vertical="center" wrapText="1"/>
    </xf>
    <xf numFmtId="0" fontId="98" fillId="0" borderId="45" xfId="85" applyFont="1" applyBorder="1"/>
    <xf numFmtId="0" fontId="98" fillId="0" borderId="12" xfId="85" applyFont="1" applyBorder="1"/>
    <xf numFmtId="0" fontId="98" fillId="0" borderId="29" xfId="85" applyFont="1" applyBorder="1"/>
    <xf numFmtId="0" fontId="148" fillId="0" borderId="163" xfId="85" applyFont="1" applyBorder="1" applyAlignment="1">
      <alignment horizontal="center" vertical="center" wrapText="1"/>
    </xf>
    <xf numFmtId="0" fontId="37" fillId="0" borderId="0" xfId="85" applyFont="1" applyAlignment="1">
      <alignment horizontal="center" vertical="center" wrapText="1"/>
    </xf>
    <xf numFmtId="0" fontId="3" fillId="0" borderId="49" xfId="70" applyFont="1" applyBorder="1" applyAlignment="1">
      <alignment horizontal="left" wrapText="1"/>
    </xf>
    <xf numFmtId="0" fontId="113" fillId="0" borderId="20" xfId="85" applyFont="1" applyBorder="1" applyAlignment="1">
      <alignment horizontal="center" vertical="center" wrapText="1"/>
    </xf>
    <xf numFmtId="0" fontId="3" fillId="34" borderId="0" xfId="72" applyFont="1" applyFill="1" applyAlignment="1">
      <alignment horizontal="center"/>
    </xf>
    <xf numFmtId="0" fontId="33" fillId="0" borderId="39" xfId="85" applyFont="1" applyBorder="1" applyAlignment="1">
      <alignment horizontal="right"/>
    </xf>
    <xf numFmtId="0" fontId="70" fillId="0" borderId="59" xfId="85" applyFont="1" applyBorder="1"/>
    <xf numFmtId="168" fontId="33" fillId="0" borderId="72" xfId="85" applyNumberFormat="1" applyFont="1" applyBorder="1" applyAlignment="1">
      <alignment vertical="center"/>
    </xf>
    <xf numFmtId="0" fontId="98" fillId="0" borderId="38" xfId="70" applyFont="1" applyBorder="1" applyAlignment="1">
      <alignment horizontal="left"/>
    </xf>
    <xf numFmtId="0" fontId="98" fillId="0" borderId="80" xfId="70" applyFont="1" applyBorder="1"/>
    <xf numFmtId="3" fontId="3" fillId="0" borderId="97" xfId="70" applyNumberFormat="1" applyFont="1" applyBorder="1"/>
    <xf numFmtId="0" fontId="3" fillId="27" borderId="20" xfId="85" applyFont="1" applyFill="1" applyBorder="1" applyAlignment="1">
      <alignment horizontal="left"/>
    </xf>
    <xf numFmtId="0" fontId="11" fillId="27" borderId="0" xfId="85" applyFont="1" applyFill="1" applyAlignment="1">
      <alignment horizontal="center"/>
    </xf>
    <xf numFmtId="0" fontId="3" fillId="0" borderId="0" xfId="85" applyFont="1" applyAlignment="1">
      <alignment horizontal="center"/>
    </xf>
    <xf numFmtId="0" fontId="3" fillId="0" borderId="35" xfId="76" applyFont="1" applyBorder="1" applyAlignment="1">
      <alignment horizontal="center"/>
    </xf>
    <xf numFmtId="0" fontId="3" fillId="34" borderId="0" xfId="85" applyFont="1" applyFill="1" applyAlignment="1">
      <alignment horizontal="center"/>
    </xf>
    <xf numFmtId="168" fontId="5" fillId="0" borderId="164" xfId="85" applyNumberFormat="1" applyFont="1" applyBorder="1" applyAlignment="1">
      <alignment vertical="center"/>
    </xf>
    <xf numFmtId="0" fontId="5" fillId="0" borderId="138" xfId="85" applyFont="1" applyBorder="1"/>
    <xf numFmtId="0" fontId="3" fillId="27" borderId="15" xfId="85" applyFont="1" applyFill="1" applyBorder="1" applyAlignment="1">
      <alignment horizontal="left"/>
    </xf>
    <xf numFmtId="0" fontId="11" fillId="27" borderId="120" xfId="85" applyFont="1" applyFill="1" applyBorder="1" applyAlignment="1">
      <alignment horizontal="center"/>
    </xf>
    <xf numFmtId="3" fontId="128" fillId="27" borderId="157" xfId="85" applyNumberFormat="1" applyFont="1" applyFill="1" applyBorder="1"/>
    <xf numFmtId="0" fontId="15" fillId="0" borderId="0" xfId="70" applyFont="1"/>
    <xf numFmtId="0" fontId="15" fillId="0" borderId="0" xfId="70" applyFont="1" applyAlignment="1">
      <alignment horizontal="center"/>
    </xf>
    <xf numFmtId="0" fontId="5" fillId="0" borderId="15" xfId="70" applyFont="1" applyBorder="1" applyAlignment="1">
      <alignment horizontal="center" vertical="center"/>
    </xf>
    <xf numFmtId="0" fontId="5" fillId="0" borderId="165" xfId="85" applyFont="1" applyBorder="1"/>
    <xf numFmtId="0" fontId="5" fillId="0" borderId="166" xfId="70" applyFont="1" applyBorder="1" applyAlignment="1">
      <alignment horizontal="center" vertical="center"/>
    </xf>
    <xf numFmtId="3" fontId="15" fillId="0" borderId="0" xfId="70" applyNumberFormat="1" applyFont="1" applyAlignment="1">
      <alignment horizontal="center" vertical="center"/>
    </xf>
    <xf numFmtId="0" fontId="26" fillId="0" borderId="0" xfId="85" applyFont="1"/>
    <xf numFmtId="0" fontId="33" fillId="0" borderId="162" xfId="70" applyFont="1" applyBorder="1"/>
    <xf numFmtId="168" fontId="33" fillId="0" borderId="150" xfId="70" applyNumberFormat="1" applyFont="1" applyBorder="1" applyAlignment="1">
      <alignment vertical="center"/>
    </xf>
    <xf numFmtId="0" fontId="5" fillId="0" borderId="15" xfId="70" applyFont="1" applyBorder="1" applyAlignment="1">
      <alignment horizontal="right"/>
    </xf>
    <xf numFmtId="0" fontId="5" fillId="0" borderId="138" xfId="70" applyFont="1" applyBorder="1"/>
    <xf numFmtId="168" fontId="5" fillId="0" borderId="76" xfId="70" applyNumberFormat="1" applyFont="1" applyBorder="1" applyAlignment="1">
      <alignment vertical="center"/>
    </xf>
    <xf numFmtId="0" fontId="3" fillId="27" borderId="20" xfId="70" applyFont="1" applyFill="1" applyBorder="1"/>
    <xf numFmtId="0" fontId="3" fillId="27" borderId="20" xfId="70" applyFont="1" applyFill="1" applyBorder="1" applyAlignment="1">
      <alignment horizontal="left"/>
    </xf>
    <xf numFmtId="0" fontId="11" fillId="27" borderId="0" xfId="70" applyFont="1" applyFill="1" applyAlignment="1">
      <alignment horizontal="center"/>
    </xf>
    <xf numFmtId="3" fontId="3" fillId="27" borderId="40" xfId="70" applyNumberFormat="1" applyFont="1" applyFill="1" applyBorder="1"/>
    <xf numFmtId="0" fontId="3" fillId="27" borderId="0" xfId="70" applyFont="1" applyFill="1"/>
    <xf numFmtId="0" fontId="6" fillId="27" borderId="20" xfId="70" applyFont="1" applyFill="1" applyBorder="1" applyAlignment="1">
      <alignment horizontal="center"/>
    </xf>
    <xf numFmtId="0" fontId="33" fillId="0" borderId="161" xfId="70" applyFont="1" applyBorder="1" applyAlignment="1">
      <alignment horizontal="right"/>
    </xf>
    <xf numFmtId="0" fontId="98" fillId="0" borderId="45" xfId="70" applyFont="1" applyBorder="1"/>
    <xf numFmtId="0" fontId="98" fillId="0" borderId="12" xfId="70" applyFont="1" applyBorder="1"/>
    <xf numFmtId="0" fontId="98" fillId="0" borderId="29" xfId="70" applyFont="1" applyBorder="1"/>
    <xf numFmtId="0" fontId="142" fillId="0" borderId="163" xfId="70" applyFont="1" applyBorder="1"/>
    <xf numFmtId="0" fontId="98" fillId="0" borderId="45" xfId="70" applyFont="1" applyBorder="1" applyAlignment="1">
      <alignment horizontal="left"/>
    </xf>
    <xf numFmtId="168" fontId="98" fillId="0" borderId="29" xfId="70" applyNumberFormat="1" applyFont="1" applyBorder="1" applyAlignment="1">
      <alignment vertical="center"/>
    </xf>
    <xf numFmtId="0" fontId="33" fillId="0" borderId="160" xfId="70" applyFont="1" applyBorder="1" applyAlignment="1">
      <alignment horizontal="right"/>
    </xf>
    <xf numFmtId="0" fontId="33" fillId="0" borderId="91" xfId="70" applyFont="1" applyBorder="1"/>
    <xf numFmtId="168" fontId="33" fillId="0" borderId="111" xfId="70" applyNumberFormat="1" applyFont="1" applyBorder="1" applyAlignment="1">
      <alignment vertical="center"/>
    </xf>
    <xf numFmtId="0" fontId="5" fillId="0" borderId="166" xfId="70" applyFont="1" applyBorder="1" applyAlignment="1">
      <alignment horizontal="right"/>
    </xf>
    <xf numFmtId="0" fontId="5" fillId="0" borderId="165" xfId="70" applyFont="1" applyBorder="1"/>
    <xf numFmtId="0" fontId="3" fillId="27" borderId="15" xfId="70" applyFont="1" applyFill="1" applyBorder="1" applyAlignment="1">
      <alignment horizontal="left"/>
    </xf>
    <xf numFmtId="0" fontId="11" fillId="27" borderId="120" xfId="70" applyFont="1" applyFill="1" applyBorder="1" applyAlignment="1">
      <alignment horizontal="center"/>
    </xf>
    <xf numFmtId="3" fontId="3" fillId="27" borderId="157" xfId="70" applyNumberFormat="1" applyFont="1" applyFill="1" applyBorder="1"/>
    <xf numFmtId="0" fontId="28" fillId="0" borderId="166" xfId="70" applyFont="1" applyBorder="1" applyAlignment="1">
      <alignment horizontal="right"/>
    </xf>
    <xf numFmtId="168" fontId="5" fillId="0" borderId="152" xfId="70" applyNumberFormat="1" applyFont="1" applyBorder="1" applyAlignment="1">
      <alignment vertical="center"/>
    </xf>
    <xf numFmtId="0" fontId="3" fillId="27" borderId="10" xfId="70" applyFont="1" applyFill="1" applyBorder="1"/>
    <xf numFmtId="0" fontId="3" fillId="27" borderId="92" xfId="70" applyFont="1" applyFill="1" applyBorder="1"/>
    <xf numFmtId="0" fontId="3" fillId="27" borderId="78" xfId="70" applyFont="1" applyFill="1" applyBorder="1"/>
    <xf numFmtId="0" fontId="3" fillId="27" borderId="40" xfId="70" applyFont="1" applyFill="1" applyBorder="1"/>
    <xf numFmtId="0" fontId="66" fillId="0" borderId="0" xfId="70" applyFont="1" applyAlignment="1">
      <alignment horizontal="center" vertical="center" wrapText="1"/>
    </xf>
    <xf numFmtId="0" fontId="98" fillId="0" borderId="45" xfId="70" applyFont="1" applyBorder="1" applyAlignment="1">
      <alignment vertical="top"/>
    </xf>
    <xf numFmtId="0" fontId="98" fillId="0" borderId="12" xfId="70" applyFont="1" applyBorder="1" applyAlignment="1">
      <alignment vertical="top"/>
    </xf>
    <xf numFmtId="0" fontId="98" fillId="0" borderId="29" xfId="70" applyFont="1" applyBorder="1" applyAlignment="1">
      <alignment vertical="top"/>
    </xf>
    <xf numFmtId="0" fontId="148" fillId="0" borderId="163" xfId="70" applyFont="1" applyBorder="1" applyAlignment="1">
      <alignment horizontal="center" vertical="center" wrapText="1"/>
    </xf>
    <xf numFmtId="0" fontId="37" fillId="0" borderId="0" xfId="70" applyFont="1" applyAlignment="1">
      <alignment horizontal="center" vertical="center" wrapText="1"/>
    </xf>
    <xf numFmtId="0" fontId="113" fillId="0" borderId="0" xfId="70" applyFont="1" applyAlignment="1">
      <alignment horizontal="center" vertical="center" wrapText="1"/>
    </xf>
    <xf numFmtId="0" fontId="5" fillId="0" borderId="0" xfId="70" applyFont="1" applyAlignment="1">
      <alignment horizontal="center"/>
    </xf>
    <xf numFmtId="168" fontId="98" fillId="0" borderId="29" xfId="70" applyNumberFormat="1" applyFont="1" applyBorder="1" applyAlignment="1">
      <alignment vertical="top"/>
    </xf>
    <xf numFmtId="0" fontId="98" fillId="0" borderId="0" xfId="70" applyFont="1" applyAlignment="1">
      <alignment horizontal="right"/>
    </xf>
    <xf numFmtId="0" fontId="5" fillId="0" borderId="0" xfId="70" applyFont="1"/>
    <xf numFmtId="168" fontId="6" fillId="0" borderId="0" xfId="70" applyNumberFormat="1" applyFont="1" applyAlignment="1">
      <alignment vertical="center"/>
    </xf>
    <xf numFmtId="0" fontId="5" fillId="0" borderId="165" xfId="70" applyFont="1" applyBorder="1" applyAlignment="1">
      <alignment horizontal="right"/>
    </xf>
    <xf numFmtId="168" fontId="5" fillId="0" borderId="76" xfId="70" applyNumberFormat="1" applyFont="1" applyBorder="1" applyAlignment="1">
      <alignment horizontal="right" vertical="center"/>
    </xf>
    <xf numFmtId="0" fontId="5" fillId="27" borderId="159" xfId="70" applyFont="1" applyFill="1" applyBorder="1"/>
    <xf numFmtId="0" fontId="5" fillId="27" borderId="15" xfId="70" applyFont="1" applyFill="1" applyBorder="1" applyAlignment="1">
      <alignment horizontal="right"/>
    </xf>
    <xf numFmtId="0" fontId="3" fillId="27" borderId="120" xfId="70" applyFont="1" applyFill="1" applyBorder="1"/>
    <xf numFmtId="168" fontId="5" fillId="0" borderId="164" xfId="70" applyNumberFormat="1" applyFont="1" applyBorder="1" applyAlignment="1">
      <alignment vertical="center"/>
    </xf>
    <xf numFmtId="0" fontId="5" fillId="0" borderId="167" xfId="70" applyFont="1" applyBorder="1"/>
    <xf numFmtId="168" fontId="5" fillId="0" borderId="123" xfId="70" applyNumberFormat="1" applyFont="1" applyBorder="1" applyAlignment="1">
      <alignment vertical="center"/>
    </xf>
    <xf numFmtId="0" fontId="28" fillId="0" borderId="15" xfId="70" applyFont="1" applyBorder="1" applyAlignment="1">
      <alignment horizontal="right"/>
    </xf>
    <xf numFmtId="0" fontId="28" fillId="0" borderId="138" xfId="70" applyFont="1" applyBorder="1"/>
    <xf numFmtId="168" fontId="28" fillId="0" borderId="164" xfId="70" applyNumberFormat="1" applyFont="1" applyBorder="1" applyAlignment="1">
      <alignment vertical="center"/>
    </xf>
    <xf numFmtId="0" fontId="142" fillId="0" borderId="159" xfId="77" applyFont="1" applyBorder="1" applyAlignment="1">
      <alignment horizontal="center"/>
    </xf>
    <xf numFmtId="0" fontId="142" fillId="0" borderId="159" xfId="70" applyFont="1" applyBorder="1"/>
    <xf numFmtId="0" fontId="3" fillId="27" borderId="0" xfId="70" applyFont="1" applyFill="1" applyAlignment="1">
      <alignment horizontal="center"/>
    </xf>
    <xf numFmtId="0" fontId="28" fillId="0" borderId="161" xfId="70" applyFont="1" applyBorder="1" applyAlignment="1">
      <alignment horizontal="right"/>
    </xf>
    <xf numFmtId="0" fontId="28" fillId="0" borderId="162" xfId="70" applyFont="1" applyBorder="1"/>
    <xf numFmtId="168" fontId="28" fillId="0" borderId="150" xfId="70" applyNumberFormat="1" applyFont="1" applyBorder="1" applyAlignment="1">
      <alignment vertical="center"/>
    </xf>
    <xf numFmtId="0" fontId="15" fillId="27" borderId="159" xfId="70" applyFont="1" applyFill="1" applyBorder="1"/>
    <xf numFmtId="0" fontId="3" fillId="27" borderId="120" xfId="70" applyFont="1" applyFill="1" applyBorder="1" applyAlignment="1">
      <alignment horizontal="center"/>
    </xf>
    <xf numFmtId="0" fontId="3" fillId="0" borderId="92" xfId="70" applyFont="1" applyBorder="1"/>
    <xf numFmtId="0" fontId="3" fillId="0" borderId="29" xfId="70" applyFont="1" applyBorder="1" applyAlignment="1">
      <alignment horizontal="centerContinuous"/>
    </xf>
    <xf numFmtId="0" fontId="113" fillId="0" borderId="0" xfId="70" applyFont="1" applyAlignment="1">
      <alignment vertical="center"/>
    </xf>
    <xf numFmtId="0" fontId="26" fillId="27" borderId="40" xfId="70" applyFont="1" applyFill="1" applyBorder="1"/>
    <xf numFmtId="0" fontId="2" fillId="0" borderId="10" xfId="70" applyFont="1" applyBorder="1"/>
    <xf numFmtId="0" fontId="2" fillId="0" borderId="92" xfId="70" applyFont="1" applyBorder="1"/>
    <xf numFmtId="0" fontId="2" fillId="0" borderId="78" xfId="70" applyFont="1" applyBorder="1"/>
    <xf numFmtId="0" fontId="5" fillId="0" borderId="80" xfId="70" applyFont="1" applyBorder="1" applyAlignment="1">
      <alignment vertical="top"/>
    </xf>
    <xf numFmtId="0" fontId="5" fillId="0" borderId="70" xfId="70" applyFont="1" applyBorder="1" applyAlignment="1">
      <alignment vertical="top"/>
    </xf>
    <xf numFmtId="0" fontId="15" fillId="27" borderId="40" xfId="70" applyFont="1" applyFill="1" applyBorder="1" applyAlignment="1">
      <alignment vertical="top"/>
    </xf>
    <xf numFmtId="0" fontId="3" fillId="0" borderId="59" xfId="70" applyFont="1" applyBorder="1" applyAlignment="1">
      <alignment horizontal="center"/>
    </xf>
    <xf numFmtId="0" fontId="4" fillId="0" borderId="162" xfId="70" applyFont="1" applyBorder="1"/>
    <xf numFmtId="0" fontId="6" fillId="0" borderId="162" xfId="70" applyFont="1" applyBorder="1"/>
    <xf numFmtId="168" fontId="4" fillId="0" borderId="150" xfId="70" applyNumberFormat="1" applyFont="1" applyBorder="1" applyAlignment="1">
      <alignment vertical="center"/>
    </xf>
    <xf numFmtId="0" fontId="28" fillId="0" borderId="15" xfId="70" applyFont="1" applyBorder="1" applyAlignment="1">
      <alignment horizontal="center"/>
    </xf>
    <xf numFmtId="0" fontId="28" fillId="27" borderId="20" xfId="70" applyFont="1" applyFill="1" applyBorder="1" applyAlignment="1">
      <alignment horizontal="center"/>
    </xf>
    <xf numFmtId="0" fontId="28" fillId="27" borderId="0" xfId="70" applyFont="1" applyFill="1"/>
    <xf numFmtId="168" fontId="28" fillId="27" borderId="40" xfId="70" applyNumberFormat="1" applyFont="1" applyFill="1" applyBorder="1" applyAlignment="1">
      <alignment vertical="center"/>
    </xf>
    <xf numFmtId="0" fontId="2" fillId="0" borderId="20" xfId="0" applyFont="1" applyBorder="1" applyAlignment="1">
      <alignment horizontal="center" vertical="center"/>
    </xf>
    <xf numFmtId="0" fontId="113" fillId="0" borderId="20" xfId="70" applyFont="1" applyBorder="1" applyAlignment="1">
      <alignment vertical="center" wrapText="1"/>
    </xf>
    <xf numFmtId="0" fontId="3" fillId="0" borderId="0" xfId="70" applyFont="1" applyAlignment="1">
      <alignment vertical="center" wrapText="1"/>
    </xf>
    <xf numFmtId="0" fontId="28" fillId="0" borderId="162" xfId="70" applyFont="1" applyBorder="1" applyAlignment="1">
      <alignment horizontal="right"/>
    </xf>
    <xf numFmtId="168" fontId="28" fillId="0" borderId="150" xfId="70" applyNumberFormat="1" applyFont="1" applyBorder="1" applyAlignment="1">
      <alignment horizontal="right"/>
    </xf>
    <xf numFmtId="0" fontId="2" fillId="0" borderId="20" xfId="70" applyFont="1" applyBorder="1" applyAlignment="1">
      <alignment horizontal="left"/>
    </xf>
    <xf numFmtId="0" fontId="5" fillId="0" borderId="0" xfId="70" applyFont="1" applyAlignment="1">
      <alignment horizontal="right"/>
    </xf>
    <xf numFmtId="3" fontId="3" fillId="0" borderId="40" xfId="70" applyNumberFormat="1" applyFont="1" applyBorder="1"/>
    <xf numFmtId="0" fontId="2" fillId="0" borderId="10" xfId="70" applyFont="1" applyBorder="1" applyAlignment="1">
      <alignment horizontal="left"/>
    </xf>
    <xf numFmtId="168" fontId="2" fillId="0" borderId="78" xfId="70" applyNumberFormat="1" applyFont="1" applyBorder="1" applyAlignment="1">
      <alignment vertical="center"/>
    </xf>
    <xf numFmtId="0" fontId="98" fillId="0" borderId="20" xfId="70" applyFont="1" applyBorder="1" applyAlignment="1">
      <alignment wrapText="1"/>
    </xf>
    <xf numFmtId="0" fontId="5" fillId="27" borderId="40" xfId="70" applyFont="1" applyFill="1" applyBorder="1"/>
    <xf numFmtId="0" fontId="5" fillId="0" borderId="80" xfId="70" applyFont="1" applyBorder="1" applyAlignment="1">
      <alignment horizontal="left"/>
    </xf>
    <xf numFmtId="0" fontId="5" fillId="0" borderId="70" xfId="70" applyFont="1" applyBorder="1" applyAlignment="1">
      <alignment horizontal="left"/>
    </xf>
    <xf numFmtId="0" fontId="28" fillId="0" borderId="154" xfId="70" applyFont="1" applyBorder="1"/>
    <xf numFmtId="0" fontId="98" fillId="0" borderId="45" xfId="70" applyFont="1" applyBorder="1" applyAlignment="1">
      <alignment horizontal="left" vertical="top" wrapText="1"/>
    </xf>
    <xf numFmtId="0" fontId="5" fillId="0" borderId="12" xfId="70" applyFont="1" applyBorder="1"/>
    <xf numFmtId="0" fontId="5" fillId="0" borderId="29" xfId="70" applyFont="1" applyBorder="1"/>
    <xf numFmtId="0" fontId="28" fillId="0" borderId="165" xfId="70" applyFont="1" applyBorder="1"/>
    <xf numFmtId="168" fontId="28" fillId="0" borderId="108" xfId="70" applyNumberFormat="1" applyFont="1" applyBorder="1" applyAlignment="1">
      <alignment vertical="center"/>
    </xf>
    <xf numFmtId="0" fontId="4" fillId="0" borderId="91" xfId="70" applyFont="1" applyBorder="1"/>
    <xf numFmtId="168" fontId="28" fillId="0" borderId="111" xfId="70" applyNumberFormat="1" applyFont="1" applyBorder="1" applyAlignment="1">
      <alignment vertical="center"/>
    </xf>
    <xf numFmtId="0" fontId="5" fillId="0" borderId="165" xfId="70" applyFont="1" applyBorder="1" applyAlignment="1">
      <alignment horizontal="center" vertical="center"/>
    </xf>
    <xf numFmtId="164" fontId="41" fillId="25" borderId="139" xfId="91" applyNumberFormat="1" applyFill="1" applyBorder="1" applyAlignment="1">
      <alignment horizontal="right" vertical="top"/>
    </xf>
    <xf numFmtId="0" fontId="90" fillId="25" borderId="139" xfId="89" applyFont="1" applyFill="1" applyBorder="1" applyAlignment="1">
      <alignment vertical="top"/>
    </xf>
    <xf numFmtId="164" fontId="15" fillId="25" borderId="139" xfId="91" applyNumberFormat="1" applyFont="1" applyFill="1" applyBorder="1" applyAlignment="1">
      <alignment vertical="top"/>
    </xf>
    <xf numFmtId="167" fontId="141" fillId="0" borderId="0" xfId="91" applyNumberFormat="1" applyFont="1" applyAlignment="1">
      <alignment vertical="center" wrapText="1"/>
    </xf>
    <xf numFmtId="164" fontId="41" fillId="0" borderId="0" xfId="91" applyNumberFormat="1" applyAlignment="1">
      <alignment vertical="center"/>
    </xf>
    <xf numFmtId="0" fontId="90" fillId="25" borderId="0" xfId="89" applyFont="1" applyFill="1" applyAlignment="1">
      <alignment horizontal="centerContinuous" readingOrder="1"/>
    </xf>
    <xf numFmtId="164" fontId="15" fillId="25" borderId="0" xfId="91" applyNumberFormat="1" applyFont="1" applyFill="1" applyAlignment="1">
      <alignment horizontal="centerContinuous" vertical="center" readingOrder="1"/>
    </xf>
    <xf numFmtId="164" fontId="15" fillId="25" borderId="137" xfId="91" applyNumberFormat="1" applyFont="1" applyFill="1" applyBorder="1" applyAlignment="1">
      <alignment horizontal="centerContinuous" vertical="center" readingOrder="1"/>
    </xf>
    <xf numFmtId="0" fontId="90" fillId="25" borderId="0" xfId="89" applyFont="1" applyFill="1" applyAlignment="1">
      <alignment horizontal="centerContinuous"/>
    </xf>
    <xf numFmtId="164" fontId="15" fillId="25" borderId="0" xfId="91" applyNumberFormat="1" applyFont="1" applyFill="1" applyAlignment="1">
      <alignment horizontal="centerContinuous" vertical="center"/>
    </xf>
    <xf numFmtId="164" fontId="15" fillId="25" borderId="137" xfId="91" applyNumberFormat="1" applyFont="1" applyFill="1" applyBorder="1" applyAlignment="1">
      <alignment horizontal="centerContinuous" vertical="center"/>
    </xf>
    <xf numFmtId="164" fontId="41" fillId="0" borderId="0" xfId="91" applyNumberFormat="1" applyAlignment="1">
      <alignment vertical="top"/>
    </xf>
    <xf numFmtId="14" fontId="41" fillId="0" borderId="0" xfId="91" applyNumberFormat="1" applyAlignment="1">
      <alignment vertical="top"/>
    </xf>
    <xf numFmtId="164" fontId="41" fillId="25" borderId="58" xfId="91" applyNumberFormat="1" applyFill="1" applyBorder="1" applyAlignment="1">
      <alignment horizontal="right" vertical="top"/>
    </xf>
    <xf numFmtId="164" fontId="41" fillId="25" borderId="80" xfId="91" applyNumberFormat="1" applyFill="1" applyBorder="1" applyAlignment="1">
      <alignment horizontal="right" vertical="top"/>
    </xf>
    <xf numFmtId="0" fontId="90" fillId="25" borderId="80" xfId="89" applyFont="1" applyFill="1" applyBorder="1" applyAlignment="1">
      <alignment vertical="top"/>
    </xf>
    <xf numFmtId="164" fontId="15" fillId="25" borderId="80" xfId="91" applyNumberFormat="1" applyFont="1" applyFill="1" applyBorder="1" applyAlignment="1">
      <alignment vertical="top"/>
    </xf>
    <xf numFmtId="164" fontId="15" fillId="25" borderId="82" xfId="91" applyNumberFormat="1" applyFont="1" applyFill="1" applyBorder="1" applyAlignment="1">
      <alignment vertical="top"/>
    </xf>
    <xf numFmtId="164" fontId="37" fillId="0" borderId="148" xfId="91" applyNumberFormat="1" applyFont="1" applyBorder="1" applyAlignment="1">
      <alignment horizontal="center" vertical="center" wrapText="1"/>
    </xf>
    <xf numFmtId="164" fontId="42" fillId="0" borderId="0" xfId="91" applyNumberFormat="1" applyFont="1" applyAlignment="1">
      <alignment vertical="center"/>
    </xf>
    <xf numFmtId="164" fontId="57" fillId="0" borderId="0" xfId="91" applyNumberFormat="1" applyFont="1" applyAlignment="1">
      <alignment horizontal="centerContinuous" vertical="center"/>
    </xf>
    <xf numFmtId="164" fontId="42" fillId="0" borderId="0" xfId="91" applyNumberFormat="1" applyFont="1" applyAlignment="1">
      <alignment horizontal="centerContinuous" vertical="center"/>
    </xf>
    <xf numFmtId="164" fontId="43" fillId="0" borderId="0" xfId="91" applyNumberFormat="1" applyFont="1" applyAlignment="1">
      <alignment horizontal="centerContinuous" vertical="center"/>
    </xf>
    <xf numFmtId="164" fontId="53" fillId="0" borderId="0" xfId="91" applyNumberFormat="1" applyFont="1" applyAlignment="1">
      <alignment horizontal="right" vertical="center"/>
    </xf>
    <xf numFmtId="164" fontId="44" fillId="28" borderId="35" xfId="91" applyNumberFormat="1" applyFont="1" applyFill="1" applyBorder="1" applyAlignment="1">
      <alignment horizontal="center" vertical="center"/>
    </xf>
    <xf numFmtId="164" fontId="44" fillId="0" borderId="0" xfId="91" applyNumberFormat="1" applyFont="1" applyAlignment="1">
      <alignment horizontal="center" vertical="center"/>
    </xf>
    <xf numFmtId="164" fontId="42" fillId="0" borderId="0" xfId="91" applyNumberFormat="1" applyFont="1" applyAlignment="1">
      <alignment horizontal="center" vertical="center"/>
    </xf>
    <xf numFmtId="0" fontId="149" fillId="0" borderId="0" xfId="85" applyFont="1" applyAlignment="1">
      <alignment horizontal="center" vertical="center"/>
    </xf>
    <xf numFmtId="0" fontId="150" fillId="0" borderId="0" xfId="85" applyFont="1" applyAlignment="1">
      <alignment horizontal="center" vertical="center"/>
    </xf>
    <xf numFmtId="0" fontId="107" fillId="29" borderId="0" xfId="70" applyFont="1" applyFill="1" applyAlignment="1">
      <alignment horizontal="centerContinuous" vertical="center"/>
    </xf>
    <xf numFmtId="0" fontId="108" fillId="29" borderId="0" xfId="70" applyFont="1" applyFill="1" applyAlignment="1">
      <alignment horizontal="center" vertical="center"/>
    </xf>
    <xf numFmtId="0" fontId="109" fillId="29" borderId="0" xfId="70" applyFont="1" applyFill="1" applyAlignment="1">
      <alignment horizontal="centerContinuous" vertical="center"/>
    </xf>
    <xf numFmtId="0" fontId="137" fillId="0" borderId="0" xfId="85" applyFont="1" applyAlignment="1">
      <alignment vertical="center" wrapText="1"/>
    </xf>
    <xf numFmtId="0" fontId="128" fillId="0" borderId="0" xfId="78" applyFont="1" applyAlignment="1" applyProtection="1">
      <alignment horizontal="center" vertical="center"/>
      <protection hidden="1"/>
    </xf>
    <xf numFmtId="0" fontId="151" fillId="29" borderId="0" xfId="70" applyFont="1" applyFill="1" applyAlignment="1">
      <alignment horizontal="center" vertical="center"/>
    </xf>
    <xf numFmtId="0" fontId="128" fillId="0" borderId="0" xfId="78" applyFont="1" applyAlignment="1">
      <alignment horizontal="center" vertical="center"/>
    </xf>
    <xf numFmtId="3" fontId="130" fillId="0" borderId="35" xfId="76" applyNumberFormat="1" applyFont="1" applyBorder="1" applyAlignment="1" applyProtection="1">
      <alignment horizontal="center" vertical="center" wrapText="1"/>
      <protection locked="0"/>
    </xf>
    <xf numFmtId="0" fontId="3" fillId="0" borderId="0" xfId="75" applyFont="1" applyAlignment="1">
      <alignment horizontal="center" vertical="center" wrapText="1"/>
    </xf>
    <xf numFmtId="0" fontId="137" fillId="0" borderId="0" xfId="75" applyFont="1" applyAlignment="1">
      <alignment vertical="center"/>
    </xf>
    <xf numFmtId="0" fontId="15" fillId="0" borderId="0" xfId="75" applyFont="1" applyAlignment="1">
      <alignment vertical="center" wrapText="1"/>
    </xf>
    <xf numFmtId="0" fontId="129" fillId="0" borderId="0" xfId="75" applyFont="1" applyAlignment="1">
      <alignment vertical="center" wrapText="1"/>
    </xf>
    <xf numFmtId="0" fontId="130" fillId="0" borderId="0" xfId="75" applyFont="1" applyAlignment="1">
      <alignment horizontal="center" vertical="center"/>
    </xf>
    <xf numFmtId="0" fontId="128" fillId="0" borderId="0" xfId="75" applyFont="1" applyAlignment="1">
      <alignment horizontal="center" vertical="center"/>
    </xf>
    <xf numFmtId="0" fontId="135" fillId="0" borderId="0" xfId="75" applyFont="1" applyAlignment="1">
      <alignment horizontal="center" vertical="center" wrapText="1"/>
    </xf>
    <xf numFmtId="0" fontId="26" fillId="0" borderId="0" xfId="76" applyFont="1" applyAlignment="1">
      <alignment vertical="center"/>
    </xf>
    <xf numFmtId="3" fontId="9" fillId="0" borderId="35" xfId="76" applyNumberFormat="1" applyFont="1" applyBorder="1" applyAlignment="1" applyProtection="1">
      <alignment horizontal="center" vertical="center" wrapText="1"/>
      <protection locked="0"/>
    </xf>
    <xf numFmtId="3" fontId="130" fillId="0" borderId="35" xfId="85" applyNumberFormat="1" applyFont="1" applyBorder="1" applyAlignment="1" applyProtection="1">
      <alignment horizontal="center" vertical="center" wrapText="1"/>
      <protection locked="0"/>
    </xf>
    <xf numFmtId="0" fontId="132" fillId="0" borderId="0" xfId="76" applyFont="1" applyAlignment="1">
      <alignment horizontal="center" vertical="center" wrapText="1"/>
    </xf>
    <xf numFmtId="0" fontId="128" fillId="0" borderId="0" xfId="76" applyFont="1" applyAlignment="1">
      <alignment horizontal="center" vertical="center"/>
    </xf>
    <xf numFmtId="0" fontId="128" fillId="0" borderId="0" xfId="80" applyFont="1" applyAlignment="1">
      <alignment vertical="center" wrapText="1"/>
    </xf>
    <xf numFmtId="0" fontId="129" fillId="0" borderId="0" xfId="80" applyFont="1" applyAlignment="1">
      <alignment vertical="center" wrapText="1"/>
    </xf>
    <xf numFmtId="0" fontId="128" fillId="0" borderId="0" xfId="85" applyFont="1" applyAlignment="1">
      <alignment horizontal="center" vertical="center"/>
    </xf>
    <xf numFmtId="0" fontId="107" fillId="29" borderId="0" xfId="70" applyFont="1" applyFill="1" applyAlignment="1">
      <alignment horizontal="center" vertical="center"/>
    </xf>
    <xf numFmtId="0" fontId="109" fillId="29" borderId="0" xfId="70" applyFont="1" applyFill="1" applyAlignment="1">
      <alignment horizontal="center" vertical="center"/>
    </xf>
    <xf numFmtId="0" fontId="129" fillId="0" borderId="0" xfId="76" applyFont="1" applyAlignment="1">
      <alignment vertical="center"/>
    </xf>
    <xf numFmtId="167" fontId="41" fillId="0" borderId="0" xfId="91" applyNumberFormat="1" applyAlignment="1">
      <alignment vertical="center" wrapText="1"/>
    </xf>
    <xf numFmtId="0" fontId="128" fillId="0" borderId="0" xfId="75" applyFont="1" applyAlignment="1">
      <alignment vertical="center" wrapText="1"/>
    </xf>
    <xf numFmtId="164" fontId="42" fillId="0" borderId="0" xfId="91" applyNumberFormat="1" applyFont="1" applyAlignment="1">
      <alignment horizontal="right" vertical="center"/>
    </xf>
    <xf numFmtId="164" fontId="43" fillId="0" borderId="0" xfId="91" applyNumberFormat="1" applyFont="1" applyAlignment="1">
      <alignment vertical="center"/>
    </xf>
    <xf numFmtId="164" fontId="44" fillId="0" borderId="0" xfId="91" applyNumberFormat="1" applyFont="1" applyAlignment="1">
      <alignment horizontal="center" vertical="center" wrapText="1"/>
    </xf>
    <xf numFmtId="0" fontId="149" fillId="0" borderId="0" xfId="76" applyFont="1" applyAlignment="1">
      <alignment horizontal="center" vertical="center"/>
    </xf>
    <xf numFmtId="0" fontId="150" fillId="0" borderId="0" xfId="76" applyFont="1" applyAlignment="1">
      <alignment horizontal="center" vertical="center"/>
    </xf>
    <xf numFmtId="0" fontId="128" fillId="0" borderId="0" xfId="81" applyFont="1" applyAlignment="1">
      <alignment vertical="center" wrapText="1"/>
    </xf>
    <xf numFmtId="0" fontId="152" fillId="0" borderId="0" xfId="76" applyFont="1" applyAlignment="1">
      <alignment horizontal="center" vertical="center"/>
    </xf>
    <xf numFmtId="0" fontId="153" fillId="0" borderId="0" xfId="76" applyFont="1" applyAlignment="1">
      <alignment vertical="center"/>
    </xf>
    <xf numFmtId="3" fontId="130" fillId="0" borderId="35" xfId="75" applyNumberFormat="1" applyFont="1" applyBorder="1" applyAlignment="1" applyProtection="1">
      <alignment horizontal="center" vertical="center" wrapText="1"/>
      <protection locked="0"/>
    </xf>
    <xf numFmtId="0" fontId="154" fillId="0" borderId="0" xfId="76" applyFont="1" applyAlignment="1">
      <alignment vertical="center"/>
    </xf>
    <xf numFmtId="0" fontId="26" fillId="0" borderId="0" xfId="75" applyFont="1" applyAlignment="1">
      <alignment vertical="center"/>
    </xf>
    <xf numFmtId="3" fontId="9" fillId="0" borderId="35" xfId="75" applyNumberFormat="1" applyFont="1" applyBorder="1" applyAlignment="1" applyProtection="1">
      <alignment horizontal="center" vertical="center" wrapText="1"/>
      <protection locked="0"/>
    </xf>
    <xf numFmtId="0" fontId="147" fillId="0" borderId="0" xfId="76" applyFont="1" applyAlignment="1">
      <alignment vertical="center"/>
    </xf>
    <xf numFmtId="0" fontId="155" fillId="0" borderId="0" xfId="76" applyFont="1" applyAlignment="1">
      <alignment vertical="center" wrapText="1"/>
    </xf>
    <xf numFmtId="0" fontId="112" fillId="0" borderId="0" xfId="0" applyFont="1" applyAlignment="1">
      <alignment horizontal="left" vertical="top"/>
    </xf>
    <xf numFmtId="164" fontId="156" fillId="0" borderId="123" xfId="91" applyNumberFormat="1" applyFont="1" applyBorder="1" applyAlignment="1">
      <alignment horizontal="centerContinuous" vertical="center" wrapText="1"/>
    </xf>
    <xf numFmtId="0" fontId="3" fillId="0" borderId="58" xfId="0" applyFont="1" applyBorder="1" applyAlignment="1">
      <alignment horizontal="left" vertical="center"/>
    </xf>
    <xf numFmtId="0" fontId="132" fillId="0" borderId="82" xfId="0" applyFont="1" applyBorder="1" applyAlignment="1">
      <alignment horizontal="left" vertical="center"/>
    </xf>
    <xf numFmtId="172" fontId="132" fillId="0" borderId="51" xfId="0" applyNumberFormat="1" applyFont="1" applyBorder="1" applyAlignment="1">
      <alignment horizontal="center" vertical="center"/>
    </xf>
    <xf numFmtId="0" fontId="3" fillId="0" borderId="63" xfId="0" applyFont="1" applyBorder="1" applyAlignment="1">
      <alignment horizontal="left" vertical="center"/>
    </xf>
    <xf numFmtId="0" fontId="132" fillId="0" borderId="59" xfId="0" applyFont="1" applyBorder="1" applyAlignment="1">
      <alignment horizontal="left" vertical="center"/>
    </xf>
    <xf numFmtId="172" fontId="132" fillId="0" borderId="35" xfId="0" applyNumberFormat="1" applyFont="1" applyBorder="1" applyAlignment="1">
      <alignment horizontal="center" vertical="center"/>
    </xf>
    <xf numFmtId="0" fontId="6" fillId="0" borderId="63" xfId="0" applyFont="1" applyBorder="1" applyAlignment="1">
      <alignment horizontal="left" vertical="center"/>
    </xf>
    <xf numFmtId="0" fontId="127" fillId="0" borderId="80" xfId="0" applyFont="1" applyBorder="1" applyAlignment="1">
      <alignment horizontal="left" vertical="center"/>
    </xf>
    <xf numFmtId="172" fontId="127" fillId="0" borderId="58" xfId="0" applyNumberFormat="1" applyFont="1" applyBorder="1" applyAlignment="1">
      <alignment horizontal="center" vertical="center"/>
    </xf>
    <xf numFmtId="0" fontId="132" fillId="0" borderId="80" xfId="0" applyFont="1" applyBorder="1" applyAlignment="1">
      <alignment horizontal="left" vertical="center"/>
    </xf>
    <xf numFmtId="172" fontId="132" fillId="0" borderId="58" xfId="0" applyNumberFormat="1" applyFont="1" applyBorder="1" applyAlignment="1">
      <alignment horizontal="center" vertical="center"/>
    </xf>
    <xf numFmtId="0" fontId="132" fillId="0" borderId="87" xfId="0" applyFont="1" applyBorder="1" applyAlignment="1">
      <alignment horizontal="left" vertical="center"/>
    </xf>
    <xf numFmtId="172" fontId="10" fillId="0" borderId="35" xfId="0" applyNumberFormat="1" applyFont="1" applyBorder="1" applyAlignment="1">
      <alignment horizontal="center" vertical="center" wrapText="1"/>
    </xf>
    <xf numFmtId="0" fontId="23" fillId="0" borderId="0" xfId="0" applyFont="1" applyAlignment="1">
      <alignment vertical="top"/>
    </xf>
    <xf numFmtId="0" fontId="3" fillId="0" borderId="123" xfId="0" applyFont="1" applyBorder="1" applyAlignment="1">
      <alignment horizontal="center" vertical="center" wrapText="1"/>
    </xf>
    <xf numFmtId="0" fontId="3" fillId="0" borderId="82" xfId="0" applyFont="1" applyBorder="1" applyAlignment="1">
      <alignment horizontal="left" vertical="center"/>
    </xf>
    <xf numFmtId="172" fontId="4" fillId="0" borderId="51" xfId="0" applyNumberFormat="1" applyFont="1" applyBorder="1" applyAlignment="1">
      <alignment horizontal="center" vertical="center"/>
    </xf>
    <xf numFmtId="0" fontId="3" fillId="0" borderId="87" xfId="0" applyFont="1" applyBorder="1" applyAlignment="1">
      <alignment horizontal="left" vertical="center"/>
    </xf>
    <xf numFmtId="0" fontId="3" fillId="0" borderId="59" xfId="0" applyFont="1" applyBorder="1" applyAlignment="1">
      <alignment horizontal="left" vertical="center"/>
    </xf>
    <xf numFmtId="0" fontId="3" fillId="0" borderId="80" xfId="0" applyFont="1" applyBorder="1" applyAlignment="1">
      <alignment horizontal="left" vertical="center"/>
    </xf>
    <xf numFmtId="0" fontId="11" fillId="0" borderId="80" xfId="0" applyFont="1" applyBorder="1" applyAlignment="1">
      <alignment horizontal="left" vertical="center"/>
    </xf>
    <xf numFmtId="0" fontId="11" fillId="0" borderId="59" xfId="0" applyFont="1" applyBorder="1" applyAlignment="1">
      <alignment horizontal="left" vertical="center"/>
    </xf>
    <xf numFmtId="172" fontId="70" fillId="0" borderId="51" xfId="0" applyNumberFormat="1" applyFont="1" applyBorder="1" applyAlignment="1">
      <alignment horizontal="center" vertical="center"/>
    </xf>
    <xf numFmtId="173" fontId="4" fillId="0" borderId="51" xfId="0" applyNumberFormat="1" applyFont="1" applyBorder="1" applyAlignment="1">
      <alignment horizontal="center" vertical="center"/>
    </xf>
    <xf numFmtId="174" fontId="4" fillId="0" borderId="35" xfId="0" applyNumberFormat="1" applyFont="1" applyBorder="1" applyAlignment="1">
      <alignment horizontal="center" vertical="center"/>
    </xf>
    <xf numFmtId="174" fontId="4" fillId="1" borderId="56" xfId="0" applyNumberFormat="1" applyFont="1" applyFill="1" applyBorder="1" applyAlignment="1">
      <alignment horizontal="center" vertical="center"/>
    </xf>
    <xf numFmtId="0" fontId="125" fillId="0" borderId="0" xfId="0" applyFont="1"/>
    <xf numFmtId="174" fontId="4" fillId="1" borderId="57" xfId="0" applyNumberFormat="1" applyFont="1" applyFill="1" applyBorder="1" applyAlignment="1">
      <alignment horizontal="center" vertical="center"/>
    </xf>
    <xf numFmtId="174" fontId="4" fillId="1" borderId="51" xfId="0" applyNumberFormat="1" applyFont="1" applyFill="1" applyBorder="1" applyAlignment="1">
      <alignment horizontal="center" vertical="center"/>
    </xf>
    <xf numFmtId="0" fontId="6" fillId="0" borderId="58" xfId="0" applyFont="1" applyBorder="1" applyAlignment="1">
      <alignment horizontal="left" vertical="center"/>
    </xf>
    <xf numFmtId="0" fontId="6" fillId="0" borderId="82" xfId="0" applyFont="1" applyBorder="1" applyAlignment="1">
      <alignment horizontal="left" vertical="center"/>
    </xf>
    <xf numFmtId="172" fontId="28" fillId="0" borderId="51" xfId="0" applyNumberFormat="1" applyFont="1" applyBorder="1" applyAlignment="1">
      <alignment horizontal="center" vertical="center"/>
    </xf>
    <xf numFmtId="3" fontId="6" fillId="0" borderId="87" xfId="0" applyNumberFormat="1" applyFont="1" applyBorder="1" applyAlignment="1">
      <alignment horizontal="left" vertical="center"/>
    </xf>
    <xf numFmtId="0" fontId="6" fillId="0" borderId="59" xfId="0" applyFont="1" applyBorder="1" applyAlignment="1">
      <alignment horizontal="left" vertical="center"/>
    </xf>
    <xf numFmtId="172" fontId="28" fillId="0" borderId="35" xfId="0" applyNumberFormat="1" applyFont="1" applyBorder="1" applyAlignment="1">
      <alignment horizontal="center" vertical="center"/>
    </xf>
    <xf numFmtId="0" fontId="6" fillId="0" borderId="87" xfId="0" applyFont="1" applyBorder="1" applyAlignment="1">
      <alignment horizontal="left" vertical="center"/>
    </xf>
    <xf numFmtId="0" fontId="11" fillId="0" borderId="87" xfId="0" applyFont="1" applyBorder="1" applyAlignment="1">
      <alignment horizontal="centerContinuous" vertical="center"/>
    </xf>
    <xf numFmtId="172" fontId="4" fillId="0" borderId="87" xfId="0" applyNumberFormat="1" applyFont="1" applyBorder="1" applyAlignment="1">
      <alignment horizontal="centerContinuous" vertical="center"/>
    </xf>
    <xf numFmtId="172" fontId="4" fillId="0" borderId="59" xfId="0" applyNumberFormat="1" applyFont="1" applyBorder="1" applyAlignment="1">
      <alignment horizontal="centerContinuous" vertical="center"/>
    </xf>
    <xf numFmtId="172" fontId="4" fillId="0" borderId="35" xfId="0" applyNumberFormat="1" applyFont="1" applyBorder="1" applyAlignment="1">
      <alignment horizontal="center" vertical="center"/>
    </xf>
    <xf numFmtId="172" fontId="33" fillId="32" borderId="63" xfId="0" applyNumberFormat="1" applyFont="1" applyFill="1" applyBorder="1" applyAlignment="1">
      <alignment horizontal="center" vertical="center"/>
    </xf>
    <xf numFmtId="172" fontId="33" fillId="32" borderId="139" xfId="0" applyNumberFormat="1" applyFont="1" applyFill="1" applyBorder="1" applyAlignment="1">
      <alignment horizontal="center" vertical="center"/>
    </xf>
    <xf numFmtId="172" fontId="33" fillId="32" borderId="91" xfId="0" applyNumberFormat="1" applyFont="1" applyFill="1" applyBorder="1" applyAlignment="1">
      <alignment horizontal="center" vertical="center"/>
    </xf>
    <xf numFmtId="172" fontId="33" fillId="32" borderId="56" xfId="0" applyNumberFormat="1" applyFont="1" applyFill="1" applyBorder="1" applyAlignment="1">
      <alignment horizontal="center" vertical="center"/>
    </xf>
    <xf numFmtId="172" fontId="33" fillId="32" borderId="58" xfId="0" applyNumberFormat="1" applyFont="1" applyFill="1" applyBorder="1" applyAlignment="1">
      <alignment horizontal="center" vertical="center"/>
    </xf>
    <xf numFmtId="172" fontId="33" fillId="32" borderId="0" xfId="0" applyNumberFormat="1" applyFont="1" applyFill="1" applyAlignment="1">
      <alignment horizontal="center" vertical="center"/>
    </xf>
    <xf numFmtId="172" fontId="33" fillId="32" borderId="137" xfId="0" applyNumberFormat="1" applyFont="1" applyFill="1" applyBorder="1" applyAlignment="1">
      <alignment horizontal="center" vertical="center"/>
    </xf>
    <xf numFmtId="172" fontId="33" fillId="32" borderId="21" xfId="0" applyNumberFormat="1" applyFont="1" applyFill="1" applyBorder="1" applyAlignment="1">
      <alignment horizontal="center" vertical="center"/>
    </xf>
    <xf numFmtId="172" fontId="33" fillId="32" borderId="51" xfId="0" applyNumberFormat="1" applyFont="1" applyFill="1" applyBorder="1" applyAlignment="1">
      <alignment horizontal="center" vertical="center"/>
    </xf>
    <xf numFmtId="172" fontId="33" fillId="32" borderId="80" xfId="0" applyNumberFormat="1" applyFont="1" applyFill="1" applyBorder="1" applyAlignment="1">
      <alignment horizontal="center" vertical="center"/>
    </xf>
    <xf numFmtId="172" fontId="33" fillId="32" borderId="82" xfId="0" applyNumberFormat="1" applyFont="1" applyFill="1" applyBorder="1" applyAlignment="1">
      <alignment horizontal="center" vertical="center"/>
    </xf>
    <xf numFmtId="3" fontId="3" fillId="0" borderId="87" xfId="0" applyNumberFormat="1" applyFont="1" applyBorder="1" applyAlignment="1">
      <alignment horizontal="left" vertical="center"/>
    </xf>
    <xf numFmtId="172" fontId="4" fillId="33" borderId="87" xfId="0" applyNumberFormat="1" applyFont="1" applyFill="1" applyBorder="1" applyAlignment="1">
      <alignment horizontal="centerContinuous" vertical="center"/>
    </xf>
    <xf numFmtId="0" fontId="6" fillId="0" borderId="80" xfId="0" applyFont="1" applyBorder="1" applyAlignment="1">
      <alignment horizontal="left" vertical="center"/>
    </xf>
    <xf numFmtId="0" fontId="3" fillId="0" borderId="35" xfId="72" applyFont="1" applyBorder="1" applyAlignment="1">
      <alignment horizontal="center"/>
    </xf>
    <xf numFmtId="0" fontId="158" fillId="0" borderId="0" xfId="0" applyFont="1" applyAlignment="1">
      <alignment horizontal="center"/>
    </xf>
    <xf numFmtId="0" fontId="157" fillId="33" borderId="0" xfId="0" applyFont="1" applyFill="1"/>
    <xf numFmtId="0" fontId="142" fillId="0" borderId="0" xfId="0" applyFont="1" applyAlignment="1">
      <alignment horizontal="center" vertical="center"/>
    </xf>
    <xf numFmtId="0" fontId="28" fillId="0" borderId="168" xfId="0" applyFont="1" applyBorder="1" applyAlignment="1">
      <alignment horizontal="center" vertical="center"/>
    </xf>
    <xf numFmtId="0" fontId="28" fillId="0" borderId="34" xfId="0" applyFont="1" applyBorder="1" applyAlignment="1">
      <alignment horizontal="center" vertical="center" wrapText="1"/>
    </xf>
    <xf numFmtId="0" fontId="6" fillId="0" borderId="34" xfId="0" applyFont="1" applyBorder="1" applyAlignment="1">
      <alignment horizontal="center" vertical="center" wrapText="1"/>
    </xf>
    <xf numFmtId="0" fontId="3" fillId="0" borderId="26" xfId="0" applyFont="1" applyBorder="1"/>
    <xf numFmtId="0" fontId="3" fillId="0" borderId="41" xfId="0" applyFont="1" applyBorder="1" applyAlignment="1">
      <alignment horizontal="center" vertical="center"/>
    </xf>
    <xf numFmtId="0" fontId="33" fillId="0" borderId="42" xfId="0" applyFont="1" applyBorder="1" applyAlignment="1">
      <alignment horizontal="center"/>
    </xf>
    <xf numFmtId="0" fontId="4" fillId="0" borderId="169" xfId="0" applyFont="1" applyBorder="1" applyAlignment="1" applyProtection="1">
      <alignment wrapText="1"/>
      <protection locked="0"/>
    </xf>
    <xf numFmtId="0" fontId="3" fillId="0" borderId="69" xfId="0" applyFont="1" applyBorder="1" applyAlignment="1">
      <alignment horizontal="center" vertical="center"/>
    </xf>
    <xf numFmtId="0" fontId="33" fillId="0" borderId="88" xfId="0" applyFont="1" applyBorder="1" applyAlignment="1">
      <alignment horizontal="center"/>
    </xf>
    <xf numFmtId="0" fontId="4" fillId="0" borderId="69" xfId="0" applyFont="1" applyBorder="1" applyAlignment="1" applyProtection="1">
      <alignment wrapText="1"/>
      <protection locked="0"/>
    </xf>
    <xf numFmtId="0" fontId="3" fillId="0" borderId="121" xfId="0" applyFont="1" applyBorder="1" applyAlignment="1">
      <alignment horizontal="center" vertical="center"/>
    </xf>
    <xf numFmtId="0" fontId="33" fillId="0" borderId="27" xfId="0" applyFont="1" applyBorder="1" applyAlignment="1">
      <alignment horizontal="center"/>
    </xf>
    <xf numFmtId="0" fontId="33" fillId="0" borderId="140" xfId="0" applyFont="1" applyBorder="1" applyAlignment="1">
      <alignment horizontal="center"/>
    </xf>
    <xf numFmtId="0" fontId="4" fillId="0" borderId="121" xfId="0" applyFont="1" applyBorder="1" applyAlignment="1" applyProtection="1">
      <alignment wrapText="1"/>
      <protection locked="0"/>
    </xf>
    <xf numFmtId="0" fontId="4" fillId="0" borderId="170" xfId="0" applyFont="1" applyBorder="1" applyAlignment="1" applyProtection="1">
      <alignment wrapText="1"/>
      <protection locked="0"/>
    </xf>
    <xf numFmtId="0" fontId="3" fillId="0" borderId="68" xfId="0" applyFont="1" applyBorder="1" applyAlignment="1">
      <alignment horizontal="center" vertical="center"/>
    </xf>
    <xf numFmtId="0" fontId="3" fillId="0" borderId="122" xfId="0" applyFont="1" applyBorder="1" applyAlignment="1">
      <alignment horizontal="center" vertical="center"/>
    </xf>
    <xf numFmtId="0" fontId="33" fillId="0" borderId="32" xfId="0" applyFont="1" applyBorder="1" applyAlignment="1">
      <alignment horizontal="center"/>
    </xf>
    <xf numFmtId="0" fontId="4" fillId="0" borderId="122" xfId="0" applyFont="1" applyBorder="1" applyAlignment="1" applyProtection="1">
      <alignment wrapText="1"/>
      <protection locked="0"/>
    </xf>
    <xf numFmtId="0" fontId="33" fillId="0" borderId="41" xfId="0" applyFont="1" applyBorder="1" applyAlignment="1">
      <alignment horizontal="center"/>
    </xf>
    <xf numFmtId="0" fontId="33" fillId="0" borderId="69" xfId="0" applyFont="1" applyBorder="1" applyAlignment="1">
      <alignment horizontal="center"/>
    </xf>
    <xf numFmtId="0" fontId="33" fillId="0" borderId="170" xfId="0" applyFont="1" applyBorder="1" applyAlignment="1">
      <alignment horizontal="center"/>
    </xf>
    <xf numFmtId="0" fontId="33" fillId="0" borderId="171" xfId="0" applyFont="1" applyBorder="1" applyAlignment="1">
      <alignment horizontal="center"/>
    </xf>
    <xf numFmtId="0" fontId="15" fillId="0" borderId="0" xfId="0" applyFont="1"/>
    <xf numFmtId="38" fontId="3" fillId="0" borderId="114" xfId="60" applyNumberFormat="1" applyFont="1" applyFill="1" applyBorder="1" applyAlignment="1"/>
    <xf numFmtId="38" fontId="3" fillId="0" borderId="112" xfId="60" applyNumberFormat="1" applyFont="1" applyFill="1" applyBorder="1" applyAlignment="1"/>
    <xf numFmtId="40" fontId="3" fillId="0" borderId="114" xfId="60" applyFont="1" applyFill="1" applyBorder="1" applyAlignment="1"/>
    <xf numFmtId="40" fontId="3" fillId="0" borderId="112" xfId="60" applyFont="1" applyFill="1" applyBorder="1" applyAlignment="1"/>
    <xf numFmtId="0" fontId="3" fillId="0" borderId="97" xfId="60" applyNumberFormat="1" applyFont="1" applyFill="1" applyBorder="1" applyAlignment="1" applyProtection="1">
      <protection locked="0"/>
    </xf>
    <xf numFmtId="0" fontId="3" fillId="0" borderId="65" xfId="60" applyNumberFormat="1" applyFont="1" applyFill="1" applyBorder="1" applyAlignment="1" applyProtection="1">
      <protection locked="0"/>
    </xf>
    <xf numFmtId="168" fontId="3" fillId="0" borderId="97" xfId="60" applyNumberFormat="1" applyFont="1" applyFill="1" applyBorder="1" applyAlignment="1" applyProtection="1">
      <protection locked="0"/>
    </xf>
    <xf numFmtId="168" fontId="3" fillId="0" borderId="65" xfId="60" applyNumberFormat="1" applyFont="1" applyFill="1" applyBorder="1" applyAlignment="1" applyProtection="1">
      <protection locked="0"/>
    </xf>
    <xf numFmtId="0" fontId="33" fillId="0" borderId="58" xfId="0" applyFont="1" applyBorder="1" applyAlignment="1">
      <alignment horizontal="center"/>
    </xf>
    <xf numFmtId="0" fontId="4" fillId="0" borderId="38" xfId="0" applyFont="1" applyBorder="1" applyAlignment="1">
      <alignment horizontal="left"/>
    </xf>
    <xf numFmtId="0" fontId="33" fillId="0" borderId="63" xfId="0" applyFont="1" applyBorder="1" applyAlignment="1">
      <alignment horizontal="center"/>
    </xf>
    <xf numFmtId="0" fontId="3" fillId="0" borderId="72" xfId="60" applyNumberFormat="1" applyFont="1" applyFill="1" applyBorder="1" applyAlignment="1" applyProtection="1">
      <protection locked="0"/>
    </xf>
    <xf numFmtId="168" fontId="3" fillId="0" borderId="72" xfId="60" applyNumberFormat="1" applyFont="1" applyFill="1" applyBorder="1" applyAlignment="1" applyProtection="1">
      <protection locked="0"/>
    </xf>
    <xf numFmtId="0" fontId="3" fillId="0" borderId="86" xfId="60" applyNumberFormat="1" applyFont="1" applyFill="1" applyBorder="1" applyAlignment="1" applyProtection="1">
      <protection locked="0"/>
    </xf>
    <xf numFmtId="168" fontId="3" fillId="0" borderId="86" xfId="60" applyNumberFormat="1" applyFont="1" applyFill="1" applyBorder="1" applyAlignment="1" applyProtection="1">
      <protection locked="0"/>
    </xf>
    <xf numFmtId="0" fontId="33" fillId="0" borderId="21" xfId="0" applyFont="1" applyBorder="1" applyAlignment="1">
      <alignment horizontal="center"/>
    </xf>
    <xf numFmtId="0" fontId="12" fillId="0" borderId="40" xfId="0" applyFont="1" applyBorder="1" applyAlignment="1">
      <alignment horizontal="center"/>
    </xf>
    <xf numFmtId="0" fontId="12" fillId="0" borderId="26" xfId="0" applyFont="1" applyBorder="1" applyAlignment="1">
      <alignment horizontal="center"/>
    </xf>
    <xf numFmtId="0" fontId="11" fillId="0" borderId="30" xfId="0" applyFont="1" applyBorder="1" applyAlignment="1">
      <alignment horizontal="center"/>
    </xf>
    <xf numFmtId="0" fontId="3" fillId="0" borderId="104" xfId="0" applyFont="1" applyBorder="1" applyAlignment="1">
      <alignment horizontal="centerContinuous"/>
    </xf>
    <xf numFmtId="0" fontId="6" fillId="0" borderId="21" xfId="0" applyFont="1" applyBorder="1" applyAlignment="1">
      <alignment horizontal="center" vertical="center" wrapText="1"/>
    </xf>
    <xf numFmtId="0" fontId="28" fillId="0" borderId="20" xfId="0" applyFont="1" applyBorder="1" applyAlignment="1">
      <alignment horizontal="center" vertical="center"/>
    </xf>
    <xf numFmtId="0" fontId="3" fillId="0" borderId="93" xfId="0" applyFont="1" applyBorder="1" applyAlignment="1">
      <alignment horizontal="centerContinuous" vertical="center"/>
    </xf>
    <xf numFmtId="0" fontId="3" fillId="0" borderId="120" xfId="0" applyFont="1" applyBorder="1" applyAlignment="1">
      <alignment horizontal="centerContinuous" vertical="center"/>
    </xf>
    <xf numFmtId="0" fontId="9" fillId="0" borderId="0" xfId="0" applyFont="1" applyAlignment="1">
      <alignment vertical="top"/>
    </xf>
    <xf numFmtId="40" fontId="3" fillId="0" borderId="113" xfId="60" applyFont="1" applyFill="1" applyBorder="1" applyAlignment="1"/>
    <xf numFmtId="2" fontId="3" fillId="0" borderId="97" xfId="60" applyNumberFormat="1" applyFont="1" applyFill="1" applyBorder="1" applyAlignment="1" applyProtection="1">
      <protection locked="0"/>
    </xf>
    <xf numFmtId="2" fontId="3" fillId="0" borderId="65" xfId="60" applyNumberFormat="1" applyFont="1" applyFill="1" applyBorder="1" applyAlignment="1" applyProtection="1">
      <protection locked="0"/>
    </xf>
    <xf numFmtId="2" fontId="3" fillId="0" borderId="48" xfId="60" applyNumberFormat="1" applyFont="1" applyFill="1" applyBorder="1" applyAlignment="1" applyProtection="1">
      <protection locked="0"/>
    </xf>
    <xf numFmtId="2" fontId="3" fillId="0" borderId="72" xfId="60" applyNumberFormat="1" applyFont="1" applyFill="1" applyBorder="1" applyAlignment="1" applyProtection="1">
      <protection locked="0"/>
    </xf>
    <xf numFmtId="2" fontId="3" fillId="0" borderId="84" xfId="60" applyNumberFormat="1" applyFont="1" applyFill="1" applyBorder="1" applyAlignment="1" applyProtection="1">
      <protection locked="0"/>
    </xf>
    <xf numFmtId="2" fontId="3" fillId="0" borderId="79" xfId="60" applyNumberFormat="1" applyFont="1" applyFill="1" applyBorder="1" applyAlignment="1" applyProtection="1">
      <protection locked="0"/>
    </xf>
    <xf numFmtId="2" fontId="3" fillId="0" borderId="86" xfId="60" applyNumberFormat="1" applyFont="1" applyFill="1" applyBorder="1" applyAlignment="1" applyProtection="1">
      <protection locked="0"/>
    </xf>
    <xf numFmtId="0" fontId="12" fillId="0" borderId="27" xfId="0" applyFont="1" applyBorder="1" applyAlignment="1">
      <alignment horizontal="center"/>
    </xf>
    <xf numFmtId="0" fontId="6" fillId="0" borderId="43" xfId="0" applyFont="1" applyBorder="1" applyAlignment="1">
      <alignment horizontal="centerContinuous" vertical="center"/>
    </xf>
    <xf numFmtId="0" fontId="6" fillId="0" borderId="42" xfId="0" applyFont="1" applyBorder="1" applyAlignment="1">
      <alignment horizontal="centerContinuous" vertical="center"/>
    </xf>
    <xf numFmtId="0" fontId="2" fillId="0" borderId="12" xfId="0" applyFont="1" applyBorder="1" applyAlignment="1">
      <alignment horizontal="centerContinuous" vertical="center"/>
    </xf>
    <xf numFmtId="0" fontId="3" fillId="0" borderId="80" xfId="0" applyFont="1" applyBorder="1" applyAlignment="1">
      <alignment horizontal="centerContinuous" vertical="center"/>
    </xf>
    <xf numFmtId="0" fontId="145" fillId="0" borderId="0" xfId="0" applyFont="1" applyAlignment="1">
      <alignment horizontal="center" vertical="center"/>
    </xf>
    <xf numFmtId="0" fontId="5" fillId="0" borderId="120" xfId="0" applyFont="1" applyBorder="1" applyAlignment="1">
      <alignment vertical="center" wrapText="1"/>
    </xf>
    <xf numFmtId="0" fontId="157" fillId="0" borderId="0" xfId="0" applyFont="1" applyAlignment="1">
      <alignment horizontal="center" vertical="center"/>
    </xf>
    <xf numFmtId="0" fontId="4" fillId="0" borderId="38" xfId="0" applyFont="1" applyBorder="1" applyAlignment="1">
      <alignment horizontal="left" wrapText="1"/>
    </xf>
    <xf numFmtId="3" fontId="3" fillId="0" borderId="65" xfId="0" applyNumberFormat="1" applyFont="1" applyBorder="1" applyAlignment="1" applyProtection="1">
      <alignment vertical="center"/>
      <protection locked="0"/>
    </xf>
    <xf numFmtId="0" fontId="6" fillId="0" borderId="12" xfId="0" applyFont="1" applyBorder="1" applyAlignment="1">
      <alignment horizontal="centerContinuous"/>
    </xf>
    <xf numFmtId="0" fontId="67" fillId="0" borderId="0" xfId="90" applyNumberFormat="1" applyFont="1" applyAlignment="1">
      <alignment horizontal="center" vertical="center" wrapText="1"/>
    </xf>
    <xf numFmtId="0" fontId="145" fillId="0" borderId="0" xfId="0" applyFont="1" applyAlignment="1" applyProtection="1">
      <alignment horizontal="center" vertical="center"/>
      <protection locked="0"/>
    </xf>
    <xf numFmtId="0" fontId="15" fillId="0" borderId="0" xfId="129"/>
    <xf numFmtId="0" fontId="15" fillId="33" borderId="10" xfId="129" applyFill="1" applyBorder="1"/>
    <xf numFmtId="0" fontId="15" fillId="33" borderId="78" xfId="129" applyFill="1" applyBorder="1"/>
    <xf numFmtId="0" fontId="15" fillId="0" borderId="0" xfId="129" applyAlignment="1">
      <alignment vertical="center"/>
    </xf>
    <xf numFmtId="0" fontId="12" fillId="0" borderId="90" xfId="128" applyFont="1" applyBorder="1" applyAlignment="1">
      <alignment horizontal="center"/>
    </xf>
    <xf numFmtId="0" fontId="12" fillId="0" borderId="175" xfId="129" applyFont="1" applyBorder="1" applyAlignment="1">
      <alignment horizontal="center"/>
    </xf>
    <xf numFmtId="0" fontId="25" fillId="0" borderId="20" xfId="129" applyFont="1" applyBorder="1" applyAlignment="1">
      <alignment horizontal="center"/>
    </xf>
    <xf numFmtId="0" fontId="25" fillId="0" borderId="0" xfId="129" applyFont="1" applyAlignment="1">
      <alignment horizontal="center"/>
    </xf>
    <xf numFmtId="0" fontId="12" fillId="0" borderId="176" xfId="128" applyFont="1" applyBorder="1" applyAlignment="1">
      <alignment horizontal="center"/>
    </xf>
    <xf numFmtId="0" fontId="12" fillId="0" borderId="145" xfId="129" applyFont="1" applyBorder="1" applyAlignment="1">
      <alignment horizontal="center"/>
    </xf>
    <xf numFmtId="3" fontId="3" fillId="24" borderId="65" xfId="0" applyNumberFormat="1" applyFont="1" applyFill="1" applyBorder="1"/>
    <xf numFmtId="3" fontId="3" fillId="24" borderId="97" xfId="0" applyNumberFormat="1" applyFont="1" applyFill="1" applyBorder="1"/>
    <xf numFmtId="3" fontId="3" fillId="24" borderId="38" xfId="0" applyNumberFormat="1" applyFont="1" applyFill="1" applyBorder="1" applyProtection="1">
      <protection locked="0"/>
    </xf>
    <xf numFmtId="0" fontId="0" fillId="0" borderId="159" xfId="0" applyBorder="1"/>
    <xf numFmtId="0" fontId="0" fillId="29" borderId="0" xfId="0" applyFill="1"/>
    <xf numFmtId="3" fontId="3" fillId="24" borderId="38" xfId="0" applyNumberFormat="1" applyFont="1" applyFill="1" applyBorder="1"/>
    <xf numFmtId="0" fontId="6" fillId="0" borderId="22" xfId="128" applyFont="1" applyBorder="1" applyAlignment="1">
      <alignment horizontal="left"/>
    </xf>
    <xf numFmtId="0" fontId="10" fillId="0" borderId="28" xfId="128" applyFont="1" applyBorder="1" applyAlignment="1">
      <alignment horizontal="center"/>
    </xf>
    <xf numFmtId="3" fontId="10" fillId="0" borderId="112" xfId="128" applyNumberFormat="1" applyFont="1" applyBorder="1" applyAlignment="1">
      <alignment horizontal="center"/>
    </xf>
    <xf numFmtId="3" fontId="10" fillId="0" borderId="28" xfId="128" applyNumberFormat="1" applyFont="1" applyBorder="1" applyAlignment="1">
      <alignment horizontal="center"/>
    </xf>
    <xf numFmtId="3" fontId="10" fillId="0" borderId="113" xfId="128" applyNumberFormat="1" applyFont="1" applyBorder="1" applyAlignment="1">
      <alignment horizontal="center"/>
    </xf>
    <xf numFmtId="3" fontId="10" fillId="0" borderId="129" xfId="128" applyNumberFormat="1" applyFont="1" applyBorder="1" applyAlignment="1">
      <alignment horizontal="center"/>
    </xf>
    <xf numFmtId="0" fontId="5" fillId="0" borderId="20" xfId="129" applyFont="1" applyBorder="1"/>
    <xf numFmtId="0" fontId="5" fillId="0" borderId="0" xfId="129" applyFont="1"/>
    <xf numFmtId="3" fontId="10" fillId="0" borderId="53" xfId="128" applyNumberFormat="1" applyFont="1" applyBorder="1" applyAlignment="1">
      <alignment horizontal="center"/>
    </xf>
    <xf numFmtId="3" fontId="10" fillId="0" borderId="114" xfId="128" applyNumberFormat="1" applyFont="1" applyBorder="1" applyAlignment="1">
      <alignment horizontal="center"/>
    </xf>
    <xf numFmtId="0" fontId="6" fillId="0" borderId="77" xfId="0" applyFont="1" applyBorder="1" applyAlignment="1">
      <alignment horizontal="right"/>
    </xf>
    <xf numFmtId="0" fontId="3" fillId="29" borderId="35" xfId="0" applyFont="1" applyFill="1" applyBorder="1"/>
    <xf numFmtId="0" fontId="6" fillId="0" borderId="99" xfId="0" applyFont="1" applyBorder="1" applyAlignment="1">
      <alignment horizontal="center" wrapText="1"/>
    </xf>
    <xf numFmtId="0" fontId="6" fillId="0" borderId="25" xfId="0" applyFont="1" applyBorder="1" applyAlignment="1">
      <alignment horizontal="center" vertical="center" wrapText="1"/>
    </xf>
    <xf numFmtId="0" fontId="5" fillId="0" borderId="104" xfId="0" applyFont="1" applyBorder="1" applyAlignment="1">
      <alignment horizontal="left" vertical="center" wrapText="1"/>
    </xf>
    <xf numFmtId="0" fontId="5" fillId="0" borderId="105" xfId="0" applyFont="1" applyBorder="1" applyAlignment="1">
      <alignment horizontal="center" vertical="center"/>
    </xf>
    <xf numFmtId="0" fontId="5" fillId="0" borderId="100" xfId="0" applyFont="1" applyBorder="1" applyAlignment="1">
      <alignment horizontal="centerContinuous" vertical="center" wrapText="1"/>
    </xf>
    <xf numFmtId="0" fontId="5" fillId="0" borderId="95" xfId="0" applyFont="1" applyBorder="1" applyAlignment="1">
      <alignment horizontal="centerContinuous" vertical="center" wrapText="1"/>
    </xf>
    <xf numFmtId="0" fontId="3" fillId="0" borderId="157" xfId="0" applyFont="1" applyBorder="1"/>
    <xf numFmtId="0" fontId="3" fillId="0" borderId="120" xfId="0" applyFont="1" applyBorder="1" applyAlignment="1">
      <alignment horizontal="center"/>
    </xf>
    <xf numFmtId="0" fontId="3" fillId="0" borderId="15" xfId="0" applyFont="1" applyBorder="1"/>
    <xf numFmtId="0" fontId="3" fillId="0" borderId="40" xfId="0" applyFont="1" applyBorder="1"/>
    <xf numFmtId="0" fontId="3" fillId="0" borderId="108" xfId="0" applyFont="1" applyBorder="1"/>
    <xf numFmtId="0" fontId="3" fillId="0" borderId="167" xfId="0" applyFont="1" applyBorder="1"/>
    <xf numFmtId="0" fontId="3" fillId="0" borderId="167" xfId="0" applyFont="1" applyBorder="1" applyAlignment="1">
      <alignment horizontal="center"/>
    </xf>
    <xf numFmtId="0" fontId="28" fillId="0" borderId="166" xfId="0" applyFont="1" applyBorder="1" applyAlignment="1">
      <alignment vertical="center"/>
    </xf>
    <xf numFmtId="0" fontId="15" fillId="0" borderId="35" xfId="0" applyFont="1" applyBorder="1" applyAlignment="1">
      <alignment horizontal="center"/>
    </xf>
    <xf numFmtId="0" fontId="3" fillId="0" borderId="38" xfId="0" applyFont="1" applyBorder="1" applyAlignment="1">
      <alignment horizontal="justify" wrapText="1"/>
    </xf>
    <xf numFmtId="0" fontId="6" fillId="30" borderId="146" xfId="0" applyFont="1" applyFill="1" applyBorder="1" applyAlignment="1">
      <alignment horizontal="center" vertical="center" wrapText="1"/>
    </xf>
    <xf numFmtId="0" fontId="6" fillId="30" borderId="35" xfId="0" applyFont="1" applyFill="1" applyBorder="1" applyAlignment="1">
      <alignment horizontal="center" vertical="center" wrapText="1"/>
    </xf>
    <xf numFmtId="0" fontId="6" fillId="30" borderId="103" xfId="0" applyFont="1" applyFill="1" applyBorder="1" applyAlignment="1">
      <alignment horizontal="center" vertical="center"/>
    </xf>
    <xf numFmtId="0" fontId="6" fillId="30" borderId="147" xfId="0" applyFont="1" applyFill="1" applyBorder="1" applyAlignment="1">
      <alignment horizontal="center" vertical="center" wrapText="1"/>
    </xf>
    <xf numFmtId="0" fontId="3" fillId="0" borderId="124" xfId="0" applyFont="1" applyBorder="1" applyAlignment="1">
      <alignment horizontal="justify" wrapText="1"/>
    </xf>
    <xf numFmtId="3" fontId="15" fillId="0" borderId="125" xfId="0" applyNumberFormat="1" applyFont="1" applyBorder="1" applyAlignment="1">
      <alignment vertical="center"/>
    </xf>
    <xf numFmtId="0" fontId="15" fillId="0" borderId="72" xfId="0" applyFont="1" applyBorder="1" applyAlignment="1" applyProtection="1">
      <alignment wrapText="1"/>
      <protection locked="0"/>
    </xf>
    <xf numFmtId="0" fontId="6" fillId="30" borderId="72" xfId="0" applyFont="1" applyFill="1" applyBorder="1" applyAlignment="1">
      <alignment horizontal="center" vertical="center" wrapText="1"/>
    </xf>
    <xf numFmtId="0" fontId="3" fillId="0" borderId="0" xfId="0" applyFont="1" applyAlignment="1">
      <alignment horizontal="right"/>
    </xf>
    <xf numFmtId="0" fontId="157" fillId="0" borderId="0" xfId="0" applyFont="1" applyAlignment="1">
      <alignment horizontal="right"/>
    </xf>
    <xf numFmtId="0" fontId="10" fillId="0" borderId="87" xfId="129" applyFont="1" applyBorder="1" applyAlignment="1">
      <alignment horizontal="center" vertical="center" wrapText="1"/>
    </xf>
    <xf numFmtId="3" fontId="3" fillId="24" borderId="81" xfId="0" applyNumberFormat="1" applyFont="1" applyFill="1" applyBorder="1" applyProtection="1">
      <protection locked="0"/>
    </xf>
    <xf numFmtId="0" fontId="0" fillId="29" borderId="27" xfId="0" applyFill="1" applyBorder="1"/>
    <xf numFmtId="0" fontId="0" fillId="29" borderId="32" xfId="0" applyFill="1" applyBorder="1"/>
    <xf numFmtId="3" fontId="3" fillId="24" borderId="177" xfId="0" applyNumberFormat="1" applyFont="1" applyFill="1" applyBorder="1"/>
    <xf numFmtId="3" fontId="10" fillId="0" borderId="123" xfId="128" applyNumberFormat="1" applyFont="1" applyBorder="1" applyAlignment="1">
      <alignment horizontal="center"/>
    </xf>
    <xf numFmtId="3" fontId="3" fillId="24" borderId="20" xfId="0" applyNumberFormat="1" applyFont="1" applyFill="1" applyBorder="1"/>
    <xf numFmtId="3" fontId="10" fillId="0" borderId="74" xfId="128" applyNumberFormat="1" applyFont="1" applyBorder="1" applyAlignment="1">
      <alignment horizontal="center"/>
    </xf>
    <xf numFmtId="3" fontId="3" fillId="24" borderId="18" xfId="0" applyNumberFormat="1" applyFont="1" applyFill="1" applyBorder="1"/>
    <xf numFmtId="0" fontId="3" fillId="0" borderId="63" xfId="85" applyFont="1" applyBorder="1" applyAlignment="1">
      <alignment horizontal="center"/>
    </xf>
    <xf numFmtId="0" fontId="3" fillId="0" borderId="159" xfId="70" applyFont="1" applyBorder="1"/>
    <xf numFmtId="0" fontId="2" fillId="0" borderId="10" xfId="70" applyFont="1" applyBorder="1" applyAlignment="1">
      <alignment horizontal="center" vertical="center" wrapText="1"/>
    </xf>
    <xf numFmtId="0" fontId="3" fillId="0" borderId="49" xfId="70" applyFont="1" applyBorder="1"/>
    <xf numFmtId="0" fontId="3" fillId="0" borderId="49" xfId="70" applyFont="1" applyBorder="1" applyAlignment="1">
      <alignment wrapText="1"/>
    </xf>
    <xf numFmtId="0" fontId="2" fillId="0" borderId="20" xfId="70" applyFont="1" applyBorder="1" applyAlignment="1">
      <alignment horizontal="center" vertical="center"/>
    </xf>
    <xf numFmtId="0" fontId="130" fillId="0" borderId="35" xfId="75" applyFont="1" applyBorder="1" applyAlignment="1" applyProtection="1">
      <alignment horizontal="center" vertical="center" wrapText="1"/>
      <protection locked="0"/>
    </xf>
    <xf numFmtId="0" fontId="137" fillId="0" borderId="0" xfId="75" applyFont="1" applyAlignment="1">
      <alignment vertical="center" wrapText="1"/>
    </xf>
    <xf numFmtId="0" fontId="128" fillId="0" borderId="0" xfId="75" applyFont="1" applyAlignment="1" applyProtection="1">
      <alignment horizontal="center" vertical="center"/>
      <protection hidden="1"/>
    </xf>
    <xf numFmtId="0" fontId="128" fillId="0" borderId="0" xfId="80" applyFont="1" applyAlignment="1" applyProtection="1">
      <alignment horizontal="center" vertical="center"/>
      <protection hidden="1"/>
    </xf>
    <xf numFmtId="0" fontId="133" fillId="0" borderId="0" xfId="75" applyFont="1" applyAlignment="1">
      <alignment vertical="center" wrapText="1"/>
    </xf>
    <xf numFmtId="0" fontId="121" fillId="0" borderId="0" xfId="75" applyAlignment="1">
      <alignment vertical="center" wrapText="1"/>
    </xf>
    <xf numFmtId="0" fontId="26" fillId="0" borderId="0" xfId="80" applyFont="1" applyAlignment="1">
      <alignment vertical="center" wrapText="1"/>
    </xf>
    <xf numFmtId="0" fontId="125" fillId="0" borderId="0" xfId="0" applyFont="1" applyAlignment="1">
      <alignment horizontal="center"/>
    </xf>
    <xf numFmtId="0" fontId="162" fillId="0" borderId="0" xfId="0" applyFont="1"/>
    <xf numFmtId="0" fontId="162" fillId="0" borderId="0" xfId="0" applyFont="1" applyAlignment="1">
      <alignment horizontal="center"/>
    </xf>
    <xf numFmtId="0" fontId="162" fillId="0" borderId="0" xfId="0" quotePrefix="1" applyFont="1" applyAlignment="1">
      <alignment horizontal="center"/>
    </xf>
    <xf numFmtId="0" fontId="3" fillId="0" borderId="59" xfId="70" applyFont="1" applyBorder="1" applyAlignment="1">
      <alignment horizontal="left"/>
    </xf>
    <xf numFmtId="0" fontId="163" fillId="0" borderId="0" xfId="75" applyFont="1" applyAlignment="1">
      <alignment vertical="center" wrapText="1"/>
    </xf>
    <xf numFmtId="0" fontId="164" fillId="29" borderId="0" xfId="70" applyFont="1" applyFill="1" applyAlignment="1">
      <alignment horizontal="center" vertical="center"/>
    </xf>
    <xf numFmtId="0" fontId="2" fillId="0" borderId="0" xfId="76" applyFont="1" applyAlignment="1">
      <alignment vertical="center"/>
    </xf>
    <xf numFmtId="0" fontId="4" fillId="0" borderId="0" xfId="76" applyFont="1" applyAlignment="1">
      <alignment horizontal="center" vertical="center" wrapText="1"/>
    </xf>
    <xf numFmtId="172" fontId="33" fillId="32" borderId="35" xfId="0" applyNumberFormat="1" applyFont="1" applyFill="1" applyBorder="1" applyAlignment="1">
      <alignment horizontal="center" vertical="center"/>
    </xf>
    <xf numFmtId="0" fontId="0" fillId="29" borderId="178" xfId="0" applyFill="1" applyBorder="1"/>
    <xf numFmtId="0" fontId="0" fillId="29" borderId="179" xfId="0" applyFill="1" applyBorder="1"/>
    <xf numFmtId="0" fontId="165" fillId="33" borderId="163" xfId="129" applyFont="1" applyFill="1" applyBorder="1" applyAlignment="1">
      <alignment horizontal="center" vertical="center" wrapText="1"/>
    </xf>
    <xf numFmtId="0" fontId="165" fillId="0" borderId="123" xfId="129" applyFont="1" applyBorder="1" applyAlignment="1">
      <alignment horizontal="center" vertical="center" wrapText="1"/>
    </xf>
    <xf numFmtId="3" fontId="167" fillId="24" borderId="180" xfId="0" applyNumberFormat="1" applyFont="1" applyFill="1" applyBorder="1" applyAlignment="1">
      <alignment horizontal="center"/>
    </xf>
    <xf numFmtId="3" fontId="168" fillId="0" borderId="181" xfId="128" applyNumberFormat="1" applyFont="1" applyBorder="1" applyAlignment="1">
      <alignment horizontal="center"/>
    </xf>
    <xf numFmtId="0" fontId="137" fillId="0" borderId="0" xfId="77" applyFont="1" applyAlignment="1">
      <alignment vertical="center" wrapText="1"/>
    </xf>
    <xf numFmtId="0" fontId="169" fillId="0" borderId="0" xfId="76" applyFont="1" applyAlignment="1">
      <alignment vertical="center" wrapText="1"/>
    </xf>
    <xf numFmtId="0" fontId="120" fillId="0" borderId="0" xfId="76" applyAlignment="1">
      <alignment vertical="center" wrapText="1"/>
    </xf>
    <xf numFmtId="0" fontId="145" fillId="0" borderId="0" xfId="0" applyFont="1"/>
    <xf numFmtId="49" fontId="15" fillId="0" borderId="63" xfId="87" applyNumberFormat="1" applyFont="1" applyBorder="1" applyAlignment="1" applyProtection="1">
      <alignment horizontal="left" vertical="center"/>
      <protection locked="0"/>
    </xf>
    <xf numFmtId="49" fontId="15" fillId="0" borderId="87" xfId="87" applyNumberFormat="1" applyFont="1" applyBorder="1" applyAlignment="1" applyProtection="1">
      <alignment horizontal="left" vertical="center"/>
      <protection locked="0"/>
    </xf>
    <xf numFmtId="49" fontId="15" fillId="0" borderId="59" xfId="87" applyNumberFormat="1" applyFont="1" applyBorder="1" applyAlignment="1" applyProtection="1">
      <alignment horizontal="left" vertical="center"/>
      <protection locked="0"/>
    </xf>
    <xf numFmtId="164" fontId="9" fillId="0" borderId="0" xfId="90" applyFont="1" applyAlignment="1">
      <alignment horizontal="left" vertical="center" wrapText="1"/>
    </xf>
    <xf numFmtId="164" fontId="9" fillId="0" borderId="137" xfId="90" applyFont="1" applyBorder="1" applyAlignment="1">
      <alignment horizontal="left" vertical="center" wrapText="1"/>
    </xf>
    <xf numFmtId="0" fontId="96" fillId="25" borderId="63" xfId="0" applyFont="1" applyFill="1" applyBorder="1" applyAlignment="1">
      <alignment horizontal="center" vertical="center" readingOrder="1"/>
    </xf>
    <xf numFmtId="0" fontId="96" fillId="25" borderId="87" xfId="0" applyFont="1" applyFill="1" applyBorder="1" applyAlignment="1">
      <alignment horizontal="center" vertical="center" readingOrder="1"/>
    </xf>
    <xf numFmtId="0" fontId="96" fillId="25" borderId="59" xfId="0" applyFont="1" applyFill="1" applyBorder="1" applyAlignment="1">
      <alignment horizontal="center" vertical="center" readingOrder="1"/>
    </xf>
    <xf numFmtId="49" fontId="8" fillId="0" borderId="63" xfId="43" applyNumberFormat="1" applyFill="1" applyBorder="1" applyAlignment="1" applyProtection="1">
      <alignment horizontal="left" vertical="center"/>
      <protection locked="0"/>
    </xf>
    <xf numFmtId="49" fontId="24" fillId="0" borderId="63" xfId="0" applyNumberFormat="1" applyFont="1" applyBorder="1" applyAlignment="1" applyProtection="1">
      <alignment horizontal="left" vertical="center"/>
      <protection locked="0"/>
    </xf>
    <xf numFmtId="49" fontId="24" fillId="0" borderId="59" xfId="0" applyNumberFormat="1" applyFont="1" applyBorder="1" applyAlignment="1" applyProtection="1">
      <alignment horizontal="left" vertical="center"/>
      <protection locked="0"/>
    </xf>
    <xf numFmtId="49" fontId="102" fillId="24" borderId="63" xfId="43" applyNumberFormat="1" applyFont="1" applyFill="1" applyBorder="1" applyAlignment="1" applyProtection="1">
      <alignment vertical="center"/>
      <protection locked="0"/>
    </xf>
    <xf numFmtId="49" fontId="15" fillId="24" borderId="87" xfId="0" applyNumberFormat="1" applyFont="1" applyFill="1" applyBorder="1" applyAlignment="1" applyProtection="1">
      <alignment vertical="center"/>
      <protection locked="0"/>
    </xf>
    <xf numFmtId="49" fontId="15" fillId="24" borderId="59" xfId="0" applyNumberFormat="1" applyFont="1" applyFill="1" applyBorder="1" applyAlignment="1" applyProtection="1">
      <alignment vertical="center"/>
      <protection locked="0"/>
    </xf>
    <xf numFmtId="164" fontId="44" fillId="0" borderId="0" xfId="90" applyFont="1" applyAlignment="1">
      <alignment horizontal="left" vertical="center"/>
    </xf>
    <xf numFmtId="49" fontId="15" fillId="26" borderId="63" xfId="87" applyNumberFormat="1" applyFont="1" applyFill="1" applyBorder="1" applyAlignment="1" applyProtection="1">
      <alignment horizontal="left" vertical="center"/>
      <protection locked="0"/>
    </xf>
    <xf numFmtId="49" fontId="15" fillId="26" borderId="87" xfId="87" applyNumberFormat="1" applyFont="1" applyFill="1" applyBorder="1" applyAlignment="1" applyProtection="1">
      <alignment horizontal="left" vertical="center"/>
      <protection locked="0"/>
    </xf>
    <xf numFmtId="49" fontId="15" fillId="26" borderId="59" xfId="87" applyNumberFormat="1" applyFont="1" applyFill="1" applyBorder="1" applyAlignment="1" applyProtection="1">
      <alignment horizontal="left" vertical="center"/>
      <protection locked="0"/>
    </xf>
    <xf numFmtId="164" fontId="44" fillId="0" borderId="0" xfId="90" applyFont="1" applyAlignment="1">
      <alignment horizontal="center" vertical="center"/>
    </xf>
    <xf numFmtId="164" fontId="23" fillId="0" borderId="0" xfId="90" applyFont="1" applyAlignment="1">
      <alignment horizontal="left" wrapText="1"/>
    </xf>
    <xf numFmtId="164" fontId="9" fillId="33" borderId="0" xfId="90" applyFont="1" applyFill="1" applyAlignment="1">
      <alignment horizontal="left" vertical="center" wrapText="1"/>
    </xf>
    <xf numFmtId="164" fontId="5" fillId="0" borderId="0" xfId="90" applyFont="1" applyAlignment="1">
      <alignment horizontal="left" wrapText="1"/>
    </xf>
    <xf numFmtId="164" fontId="22" fillId="0" borderId="139" xfId="90" applyFont="1" applyBorder="1" applyAlignment="1">
      <alignment horizontal="left" wrapText="1"/>
    </xf>
    <xf numFmtId="0" fontId="92" fillId="25" borderId="63" xfId="0" applyFont="1" applyFill="1" applyBorder="1" applyAlignment="1">
      <alignment horizontal="center" vertical="center" wrapText="1" readingOrder="1"/>
    </xf>
    <xf numFmtId="0" fontId="92" fillId="25" borderId="87" xfId="0" applyFont="1" applyFill="1" applyBorder="1" applyAlignment="1">
      <alignment horizontal="center" vertical="center" wrapText="1" readingOrder="1"/>
    </xf>
    <xf numFmtId="0" fontId="92" fillId="25" borderId="59" xfId="0" applyFont="1" applyFill="1" applyBorder="1" applyAlignment="1">
      <alignment horizontal="center" vertical="center" wrapText="1" readingOrder="1"/>
    </xf>
    <xf numFmtId="49" fontId="24" fillId="0" borderId="158" xfId="87" applyNumberFormat="1" applyFont="1" applyBorder="1" applyAlignment="1" applyProtection="1">
      <alignment horizontal="left" vertical="center" wrapText="1"/>
      <protection locked="0"/>
    </xf>
    <xf numFmtId="49" fontId="24" fillId="0" borderId="139" xfId="87" applyNumberFormat="1" applyFont="1" applyBorder="1" applyAlignment="1" applyProtection="1">
      <alignment horizontal="left" vertical="center" wrapText="1"/>
      <protection locked="0"/>
    </xf>
    <xf numFmtId="49" fontId="24" fillId="0" borderId="91" xfId="87" applyNumberFormat="1" applyFont="1" applyBorder="1" applyAlignment="1" applyProtection="1">
      <alignment horizontal="left" vertical="center" wrapText="1"/>
      <protection locked="0"/>
    </xf>
    <xf numFmtId="49" fontId="24" fillId="0" borderId="21" xfId="87" applyNumberFormat="1" applyFont="1" applyBorder="1" applyAlignment="1" applyProtection="1">
      <alignment horizontal="left" vertical="center" wrapText="1"/>
      <protection locked="0"/>
    </xf>
    <xf numFmtId="49" fontId="24" fillId="0" borderId="0" xfId="87" applyNumberFormat="1" applyFont="1" applyAlignment="1" applyProtection="1">
      <alignment horizontal="left" vertical="center" wrapText="1"/>
      <protection locked="0"/>
    </xf>
    <xf numFmtId="49" fontId="24" fillId="0" borderId="137" xfId="87" applyNumberFormat="1" applyFont="1" applyBorder="1" applyAlignment="1" applyProtection="1">
      <alignment horizontal="left" vertical="center" wrapText="1"/>
      <protection locked="0"/>
    </xf>
    <xf numFmtId="49" fontId="24" fillId="0" borderId="58" xfId="87" applyNumberFormat="1" applyFont="1" applyBorder="1" applyAlignment="1" applyProtection="1">
      <alignment horizontal="left" vertical="center" wrapText="1"/>
      <protection locked="0"/>
    </xf>
    <xf numFmtId="49" fontId="24" fillId="0" borderId="80" xfId="87" applyNumberFormat="1" applyFont="1" applyBorder="1" applyAlignment="1" applyProtection="1">
      <alignment horizontal="left" vertical="center" wrapText="1"/>
      <protection locked="0"/>
    </xf>
    <xf numFmtId="49" fontId="24" fillId="0" borderId="82" xfId="87" applyNumberFormat="1" applyFont="1" applyBorder="1" applyAlignment="1" applyProtection="1">
      <alignment horizontal="left" vertical="center" wrapText="1"/>
      <protection locked="0"/>
    </xf>
    <xf numFmtId="49" fontId="15" fillId="0" borderId="63" xfId="90" applyNumberFormat="1" applyFont="1" applyBorder="1" applyAlignment="1" applyProtection="1">
      <alignment horizontal="left" vertical="center"/>
      <protection locked="0"/>
    </xf>
    <xf numFmtId="49" fontId="15" fillId="0" borderId="59" xfId="90" applyNumberFormat="1" applyFont="1" applyBorder="1" applyAlignment="1" applyProtection="1">
      <alignment horizontal="left" vertical="center"/>
      <protection locked="0"/>
    </xf>
    <xf numFmtId="49" fontId="15" fillId="26" borderId="63" xfId="90" applyNumberFormat="1" applyFont="1" applyFill="1" applyBorder="1" applyAlignment="1" applyProtection="1">
      <alignment horizontal="left" vertical="center"/>
      <protection locked="0"/>
    </xf>
    <xf numFmtId="49" fontId="15" fillId="26" borderId="59" xfId="90" applyNumberFormat="1" applyFont="1" applyFill="1" applyBorder="1" applyAlignment="1" applyProtection="1">
      <alignment horizontal="left" vertical="center"/>
      <protection locked="0"/>
    </xf>
    <xf numFmtId="0" fontId="6" fillId="0" borderId="41" xfId="0" applyFont="1" applyBorder="1" applyAlignment="1">
      <alignment horizontal="center" vertical="center"/>
    </xf>
    <xf numFmtId="0" fontId="6" fillId="0" borderId="121" xfId="0" applyFont="1" applyBorder="1" applyAlignment="1">
      <alignment horizontal="center" vertical="center"/>
    </xf>
    <xf numFmtId="0" fontId="6" fillId="0" borderId="122" xfId="0" applyFont="1" applyBorder="1" applyAlignment="1">
      <alignment horizontal="center" vertical="center"/>
    </xf>
    <xf numFmtId="0" fontId="6" fillId="0" borderId="141" xfId="0" applyFont="1" applyBorder="1" applyAlignment="1">
      <alignment horizontal="center" vertical="center"/>
    </xf>
    <xf numFmtId="0" fontId="6" fillId="0" borderId="142" xfId="0" applyFont="1" applyBorder="1" applyAlignment="1">
      <alignment horizontal="center" vertical="center"/>
    </xf>
    <xf numFmtId="0" fontId="6" fillId="0" borderId="26" xfId="0" applyFont="1" applyBorder="1" applyAlignment="1">
      <alignment horizontal="center" vertical="center"/>
    </xf>
    <xf numFmtId="0" fontId="6" fillId="0" borderId="31" xfId="0" applyFont="1" applyBorder="1" applyAlignment="1">
      <alignment horizontal="center" vertical="center"/>
    </xf>
    <xf numFmtId="0" fontId="99" fillId="0" borderId="0" xfId="0" applyFont="1" applyAlignment="1">
      <alignment horizontal="center" vertical="center" wrapText="1"/>
    </xf>
    <xf numFmtId="0" fontId="5" fillId="0" borderId="166" xfId="0" applyFont="1" applyBorder="1" applyAlignment="1">
      <alignment horizontal="center" vertical="center"/>
    </xf>
    <xf numFmtId="0" fontId="5" fillId="0" borderId="167" xfId="0" applyFont="1" applyBorder="1" applyAlignment="1">
      <alignment horizontal="center" vertical="center"/>
    </xf>
    <xf numFmtId="0" fontId="5" fillId="0" borderId="108" xfId="0" applyFont="1" applyBorder="1" applyAlignment="1">
      <alignment horizontal="center" vertical="center"/>
    </xf>
    <xf numFmtId="0" fontId="5" fillId="0" borderId="14" xfId="0" applyFont="1" applyBorder="1" applyAlignment="1">
      <alignment horizontal="center" vertical="center"/>
    </xf>
    <xf numFmtId="0" fontId="5" fillId="0" borderId="93" xfId="0" applyFont="1" applyBorder="1" applyAlignment="1">
      <alignment horizontal="center" vertical="center"/>
    </xf>
    <xf numFmtId="0" fontId="5" fillId="0" borderId="33" xfId="0" applyFont="1" applyBorder="1" applyAlignment="1">
      <alignment horizontal="center" vertical="center"/>
    </xf>
    <xf numFmtId="0" fontId="10" fillId="0" borderId="41" xfId="0" applyFont="1" applyBorder="1" applyAlignment="1">
      <alignment horizontal="center" vertical="center"/>
    </xf>
    <xf numFmtId="0" fontId="10" fillId="0" borderId="122" xfId="0" applyFont="1" applyBorder="1" applyAlignment="1">
      <alignment horizontal="center" vertical="center"/>
    </xf>
    <xf numFmtId="0" fontId="99" fillId="0" borderId="166" xfId="0" applyFont="1" applyBorder="1" applyAlignment="1">
      <alignment horizontal="center" vertical="center" wrapText="1"/>
    </xf>
    <xf numFmtId="0" fontId="99" fillId="0" borderId="167" xfId="0" applyFont="1" applyBorder="1" applyAlignment="1">
      <alignment horizontal="center" vertical="center" wrapText="1"/>
    </xf>
    <xf numFmtId="0" fontId="99" fillId="0" borderId="108" xfId="0" applyFont="1" applyBorder="1" applyAlignment="1">
      <alignment horizontal="center" vertical="center" wrapText="1"/>
    </xf>
    <xf numFmtId="0" fontId="7" fillId="0" borderId="0" xfId="0" applyFont="1" applyAlignment="1">
      <alignment horizontal="left" vertical="top" wrapText="1"/>
    </xf>
    <xf numFmtId="0" fontId="10" fillId="0" borderId="63" xfId="129" applyFont="1" applyBorder="1" applyAlignment="1">
      <alignment horizontal="center" vertical="center" wrapText="1"/>
    </xf>
    <xf numFmtId="0" fontId="10" fillId="0" borderId="59" xfId="129" applyFont="1" applyBorder="1" applyAlignment="1">
      <alignment horizontal="center" vertical="center" wrapText="1"/>
    </xf>
    <xf numFmtId="0" fontId="10" fillId="0" borderId="71" xfId="129" applyFont="1" applyBorder="1" applyAlignment="1">
      <alignment horizontal="center" vertical="center"/>
    </xf>
    <xf numFmtId="0" fontId="15" fillId="33" borderId="15" xfId="129" applyFill="1" applyBorder="1" applyAlignment="1">
      <alignment horizontal="center" vertical="center"/>
    </xf>
    <xf numFmtId="0" fontId="15" fillId="33" borderId="157" xfId="129" applyFill="1" applyBorder="1" applyAlignment="1">
      <alignment horizontal="center" vertical="center"/>
    </xf>
    <xf numFmtId="0" fontId="10" fillId="0" borderId="39" xfId="129" applyFont="1" applyBorder="1" applyAlignment="1">
      <alignment horizontal="center" vertical="center" wrapText="1"/>
    </xf>
    <xf numFmtId="0" fontId="10" fillId="0" borderId="103" xfId="128" applyFont="1" applyBorder="1" applyAlignment="1">
      <alignment horizontal="center" vertical="center"/>
    </xf>
    <xf numFmtId="0" fontId="10" fillId="0" borderId="95" xfId="128" applyFont="1" applyBorder="1" applyAlignment="1">
      <alignment horizontal="center" vertical="center"/>
    </xf>
    <xf numFmtId="0" fontId="10" fillId="0" borderId="77" xfId="128" applyFont="1" applyBorder="1" applyAlignment="1">
      <alignment horizontal="center" vertical="center"/>
    </xf>
    <xf numFmtId="0" fontId="10" fillId="0" borderId="146" xfId="128" applyFont="1" applyBorder="1" applyAlignment="1">
      <alignment horizontal="center" vertical="center"/>
    </xf>
    <xf numFmtId="0" fontId="10" fillId="0" borderId="57" xfId="128" applyFont="1" applyBorder="1" applyAlignment="1">
      <alignment horizontal="center" vertical="center"/>
    </xf>
    <xf numFmtId="0" fontId="10" fillId="0" borderId="174" xfId="128" applyFont="1" applyBorder="1" applyAlignment="1">
      <alignment horizontal="center" vertical="center"/>
    </xf>
    <xf numFmtId="0" fontId="5" fillId="0" borderId="126" xfId="129" applyFont="1" applyBorder="1" applyAlignment="1">
      <alignment horizontal="center"/>
    </xf>
    <xf numFmtId="0" fontId="5" fillId="0" borderId="12" xfId="129" applyFont="1" applyBorder="1" applyAlignment="1">
      <alignment horizontal="center"/>
    </xf>
    <xf numFmtId="0" fontId="5" fillId="0" borderId="29" xfId="129" applyFont="1" applyBorder="1" applyAlignment="1">
      <alignment horizontal="center"/>
    </xf>
    <xf numFmtId="0" fontId="5" fillId="0" borderId="45" xfId="129" applyFont="1" applyBorder="1" applyAlignment="1">
      <alignment horizontal="center"/>
    </xf>
    <xf numFmtId="0" fontId="10" fillId="0" borderId="158" xfId="129" applyFont="1" applyBorder="1" applyAlignment="1">
      <alignment horizontal="center" vertical="center" wrapText="1"/>
    </xf>
    <xf numFmtId="0" fontId="10" fillId="0" borderId="91" xfId="129" applyFont="1" applyBorder="1" applyAlignment="1">
      <alignment horizontal="center" vertical="center" wrapText="1"/>
    </xf>
    <xf numFmtId="0" fontId="165" fillId="33" borderId="166" xfId="129" applyFont="1" applyFill="1" applyBorder="1" applyAlignment="1">
      <alignment horizontal="center"/>
    </xf>
    <xf numFmtId="0" fontId="165" fillId="33" borderId="108" xfId="129" applyFont="1" applyFill="1" applyBorder="1" applyAlignment="1">
      <alignment horizontal="center"/>
    </xf>
    <xf numFmtId="0" fontId="166" fillId="0" borderId="166" xfId="128" applyFont="1" applyBorder="1" applyAlignment="1">
      <alignment horizontal="center"/>
    </xf>
    <xf numFmtId="0" fontId="166" fillId="0" borderId="108" xfId="128" applyFont="1" applyBorder="1" applyAlignment="1">
      <alignment horizontal="center"/>
    </xf>
    <xf numFmtId="0" fontId="9" fillId="0" borderId="0" xfId="0" applyFont="1" applyAlignment="1">
      <alignment vertical="top"/>
    </xf>
    <xf numFmtId="0" fontId="5" fillId="0" borderId="120" xfId="0" applyFont="1" applyBorder="1" applyAlignment="1">
      <alignment horizontal="left" vertical="center" wrapText="1"/>
    </xf>
    <xf numFmtId="0" fontId="6" fillId="0" borderId="34" xfId="0" applyFont="1" applyBorder="1" applyAlignment="1">
      <alignment horizontal="center" vertical="center" wrapText="1"/>
    </xf>
    <xf numFmtId="0" fontId="6" fillId="0" borderId="42" xfId="0" applyFont="1" applyBorder="1" applyAlignment="1">
      <alignment horizontal="center" vertical="center" wrapText="1"/>
    </xf>
    <xf numFmtId="0" fontId="6" fillId="0" borderId="43" xfId="0" applyFont="1" applyBorder="1" applyAlignment="1">
      <alignment horizontal="center" vertical="center" wrapText="1"/>
    </xf>
    <xf numFmtId="0" fontId="7" fillId="24" borderId="0" xfId="0" applyFont="1" applyFill="1" applyAlignment="1">
      <alignment horizontal="left" vertical="center"/>
    </xf>
    <xf numFmtId="0" fontId="28" fillId="24" borderId="35" xfId="0" applyFont="1" applyFill="1" applyBorder="1" applyAlignment="1">
      <alignment horizontal="center" vertical="center" wrapText="1"/>
    </xf>
    <xf numFmtId="0" fontId="28" fillId="24" borderId="63" xfId="0" applyFont="1" applyFill="1" applyBorder="1" applyAlignment="1">
      <alignment horizontal="center" vertical="center" wrapText="1"/>
    </xf>
    <xf numFmtId="0" fontId="28" fillId="24" borderId="94" xfId="0" applyFont="1" applyFill="1" applyBorder="1" applyAlignment="1">
      <alignment horizontal="center" vertical="center" wrapText="1"/>
    </xf>
    <xf numFmtId="0" fontId="28" fillId="24" borderId="55" xfId="0" applyFont="1" applyFill="1" applyBorder="1" applyAlignment="1">
      <alignment horizontal="center" vertical="center" wrapText="1"/>
    </xf>
    <xf numFmtId="0" fontId="28" fillId="24" borderId="81"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79" xfId="0" applyFont="1" applyFill="1" applyBorder="1" applyAlignment="1">
      <alignment horizontal="center" vertical="center" wrapText="1"/>
    </xf>
    <xf numFmtId="0" fontId="28" fillId="24" borderId="35" xfId="0" applyFont="1" applyFill="1" applyBorder="1" applyAlignment="1">
      <alignment horizontal="center" wrapText="1"/>
    </xf>
    <xf numFmtId="0" fontId="28" fillId="24" borderId="79" xfId="0" applyFont="1" applyFill="1" applyBorder="1" applyAlignment="1">
      <alignment horizontal="center" wrapText="1"/>
    </xf>
    <xf numFmtId="0" fontId="28" fillId="24" borderId="63" xfId="0" applyFont="1" applyFill="1" applyBorder="1" applyAlignment="1">
      <alignment horizontal="center" wrapText="1"/>
    </xf>
    <xf numFmtId="0" fontId="28" fillId="24" borderId="59" xfId="0" applyFont="1" applyFill="1" applyBorder="1" applyAlignment="1">
      <alignment horizontal="center" wrapText="1"/>
    </xf>
    <xf numFmtId="0" fontId="19" fillId="24" borderId="35" xfId="0" applyFont="1" applyFill="1" applyBorder="1" applyAlignment="1">
      <alignment horizontal="center" wrapText="1"/>
    </xf>
    <xf numFmtId="0" fontId="28" fillId="24" borderId="84" xfId="0" applyFont="1" applyFill="1" applyBorder="1" applyAlignment="1">
      <alignment horizontal="center" wrapText="1"/>
    </xf>
    <xf numFmtId="0" fontId="28" fillId="0" borderId="120" xfId="0" applyFont="1" applyBorder="1" applyAlignment="1">
      <alignment horizontal="left" vertical="center" wrapText="1"/>
    </xf>
    <xf numFmtId="0" fontId="21" fillId="24" borderId="34" xfId="93" applyFont="1" applyFill="1" applyBorder="1" applyAlignment="1">
      <alignment horizontal="center" vertical="center"/>
    </xf>
    <xf numFmtId="0" fontId="0" fillId="0" borderId="42" xfId="0" applyBorder="1" applyAlignment="1">
      <alignment horizontal="center" vertical="center"/>
    </xf>
    <xf numFmtId="0" fontId="21" fillId="24" borderId="41" xfId="93" applyFont="1" applyFill="1" applyBorder="1" applyAlignment="1">
      <alignment horizontal="center" vertical="center"/>
    </xf>
    <xf numFmtId="0" fontId="13" fillId="24" borderId="37" xfId="94" applyFont="1" applyFill="1" applyBorder="1" applyAlignment="1">
      <alignment horizontal="center" vertical="center"/>
    </xf>
    <xf numFmtId="0" fontId="0" fillId="0" borderId="14" xfId="0" applyBorder="1"/>
    <xf numFmtId="0" fontId="0" fillId="0" borderId="36" xfId="0" applyBorder="1"/>
    <xf numFmtId="0" fontId="21" fillId="24" borderId="34" xfId="93" applyFont="1" applyFill="1" applyBorder="1" applyAlignment="1">
      <alignment horizontal="center" vertical="center" wrapText="1"/>
    </xf>
    <xf numFmtId="0" fontId="21" fillId="24" borderId="43" xfId="93" applyFont="1" applyFill="1" applyBorder="1" applyAlignment="1">
      <alignment horizontal="center" vertical="center" wrapText="1"/>
    </xf>
    <xf numFmtId="0" fontId="5" fillId="0" borderId="16" xfId="0" applyFont="1" applyBorder="1" applyAlignment="1">
      <alignment horizontal="center" vertical="center" wrapText="1"/>
    </xf>
    <xf numFmtId="0" fontId="5" fillId="0" borderId="130" xfId="0" applyFont="1" applyBorder="1" applyAlignment="1">
      <alignment horizontal="center" vertical="center" wrapText="1"/>
    </xf>
    <xf numFmtId="0" fontId="5" fillId="0" borderId="92" xfId="0" applyFont="1" applyBorder="1" applyAlignment="1">
      <alignment horizontal="center" vertical="center"/>
    </xf>
    <xf numFmtId="0" fontId="3" fillId="0" borderId="35" xfId="0" applyFont="1" applyBorder="1" applyAlignment="1" applyProtection="1">
      <alignment horizontal="center"/>
      <protection locked="0"/>
    </xf>
    <xf numFmtId="0" fontId="3" fillId="0" borderId="35" xfId="0" applyFont="1" applyBorder="1" applyAlignment="1">
      <alignment horizontal="center"/>
    </xf>
    <xf numFmtId="0" fontId="21" fillId="0" borderId="86" xfId="93" applyFont="1" applyBorder="1" applyAlignment="1">
      <alignment horizontal="center" vertical="center" wrapText="1"/>
    </xf>
    <xf numFmtId="0" fontId="21" fillId="0" borderId="71" xfId="93" applyFont="1" applyBorder="1" applyAlignment="1">
      <alignment horizontal="center" vertical="center" wrapText="1"/>
    </xf>
    <xf numFmtId="0" fontId="21" fillId="0" borderId="16" xfId="93" applyFont="1" applyBorder="1" applyAlignment="1">
      <alignment horizontal="center" vertical="center" wrapText="1"/>
    </xf>
    <xf numFmtId="0" fontId="21" fillId="0" borderId="17" xfId="93" applyFont="1" applyBorder="1" applyAlignment="1">
      <alignment horizontal="center" vertical="center" wrapText="1"/>
    </xf>
    <xf numFmtId="0" fontId="21" fillId="0" borderId="117" xfId="93" applyFont="1" applyBorder="1" applyAlignment="1">
      <alignment horizontal="center" vertical="center" wrapText="1"/>
    </xf>
    <xf numFmtId="0" fontId="21" fillId="0" borderId="88" xfId="93" applyFont="1" applyBorder="1" applyAlignment="1">
      <alignment horizontal="center" vertical="center" wrapText="1"/>
    </xf>
    <xf numFmtId="0" fontId="21" fillId="0" borderId="86" xfId="94" applyFont="1" applyBorder="1" applyAlignment="1">
      <alignment horizontal="center" vertical="center" wrapText="1"/>
    </xf>
    <xf numFmtId="0" fontId="21" fillId="0" borderId="88" xfId="94" applyFont="1" applyBorder="1" applyAlignment="1">
      <alignment horizontal="center" vertical="center" wrapText="1"/>
    </xf>
    <xf numFmtId="0" fontId="21" fillId="0" borderId="34" xfId="94" applyFont="1" applyBorder="1" applyAlignment="1">
      <alignment horizontal="center" vertical="center" wrapText="1"/>
    </xf>
    <xf numFmtId="0" fontId="0" fillId="0" borderId="42" xfId="0" applyBorder="1" applyAlignment="1">
      <alignment horizontal="center" vertical="center" wrapText="1"/>
    </xf>
    <xf numFmtId="0" fontId="21" fillId="0" borderId="16" xfId="94" applyFont="1" applyBorder="1" applyAlignment="1">
      <alignment horizontal="center" vertical="center" wrapText="1"/>
    </xf>
    <xf numFmtId="0" fontId="21" fillId="0" borderId="17" xfId="94" applyFont="1" applyBorder="1" applyAlignment="1">
      <alignment horizontal="center" vertical="center" wrapText="1"/>
    </xf>
    <xf numFmtId="0" fontId="21" fillId="0" borderId="86" xfId="94" applyFont="1" applyBorder="1" applyAlignment="1">
      <alignment horizontal="center" vertical="center"/>
    </xf>
    <xf numFmtId="0" fontId="21" fillId="0" borderId="71" xfId="94" applyFont="1" applyBorder="1" applyAlignment="1">
      <alignment horizontal="center" vertical="center"/>
    </xf>
    <xf numFmtId="0" fontId="21" fillId="0" borderId="34" xfId="94" applyFont="1" applyBorder="1" applyAlignment="1">
      <alignment horizontal="center" vertical="center"/>
    </xf>
    <xf numFmtId="0" fontId="0" fillId="0" borderId="43" xfId="0" applyBorder="1" applyAlignment="1">
      <alignment horizontal="center" vertical="center"/>
    </xf>
    <xf numFmtId="0" fontId="0" fillId="0" borderId="17" xfId="0" applyBorder="1" applyAlignment="1">
      <alignment horizontal="center" vertical="center" wrapText="1"/>
    </xf>
    <xf numFmtId="0" fontId="6" fillId="0" borderId="34" xfId="95" applyFont="1" applyBorder="1" applyAlignment="1">
      <alignment horizontal="center" vertical="center"/>
    </xf>
    <xf numFmtId="0" fontId="6" fillId="0" borderId="42" xfId="95" applyFont="1" applyBorder="1" applyAlignment="1">
      <alignment horizontal="center" vertical="center"/>
    </xf>
    <xf numFmtId="0" fontId="6" fillId="0" borderId="34" xfId="96" applyFont="1" applyBorder="1" applyAlignment="1">
      <alignment horizontal="center" vertical="center"/>
    </xf>
    <xf numFmtId="0" fontId="6" fillId="0" borderId="43" xfId="96" applyFont="1" applyBorder="1" applyAlignment="1">
      <alignment horizontal="center" vertical="center"/>
    </xf>
    <xf numFmtId="0" fontId="6" fillId="0" borderId="42" xfId="96" applyFont="1" applyBorder="1" applyAlignment="1">
      <alignment horizontal="center" vertical="center"/>
    </xf>
    <xf numFmtId="0" fontId="16" fillId="0" borderId="172" xfId="97" applyFont="1" applyBorder="1" applyAlignment="1">
      <alignment horizontal="center" vertical="center" wrapText="1"/>
    </xf>
    <xf numFmtId="0" fontId="16" fillId="0" borderId="24" xfId="97" applyFont="1" applyBorder="1" applyAlignment="1">
      <alignment horizontal="center" vertical="center" wrapText="1"/>
    </xf>
    <xf numFmtId="0" fontId="59" fillId="0" borderId="0" xfId="0" applyFont="1" applyAlignment="1">
      <alignment horizontal="center" wrapText="1"/>
    </xf>
    <xf numFmtId="0" fontId="59" fillId="0" borderId="120" xfId="0" applyFont="1" applyBorder="1" applyAlignment="1">
      <alignment horizontal="center" wrapText="1"/>
    </xf>
    <xf numFmtId="0" fontId="17" fillId="0" borderId="16" xfId="98" applyFont="1" applyBorder="1" applyAlignment="1">
      <alignment horizontal="center" vertical="center" wrapText="1"/>
    </xf>
    <xf numFmtId="0" fontId="16" fillId="0" borderId="16" xfId="98" applyFont="1" applyBorder="1" applyAlignment="1">
      <alignment horizontal="center" vertical="center" wrapText="1"/>
    </xf>
    <xf numFmtId="0" fontId="97" fillId="0" borderId="16" xfId="0" applyFont="1" applyBorder="1" applyAlignment="1">
      <alignment horizontal="center" vertical="center" wrapText="1"/>
    </xf>
    <xf numFmtId="0" fontId="0" fillId="0" borderId="17" xfId="0" applyBorder="1" applyAlignment="1">
      <alignment vertical="center" wrapText="1"/>
    </xf>
    <xf numFmtId="0" fontId="16" fillId="0" borderId="86" xfId="98" applyFont="1" applyBorder="1" applyAlignment="1" applyProtection="1">
      <alignment horizontal="center" vertical="center" wrapText="1"/>
      <protection locked="0"/>
    </xf>
    <xf numFmtId="0" fontId="0" fillId="0" borderId="88" xfId="0" applyBorder="1"/>
    <xf numFmtId="0" fontId="16" fillId="0" borderId="86" xfId="98" applyFont="1" applyBorder="1" applyAlignment="1">
      <alignment horizontal="center" vertical="center" wrapText="1"/>
    </xf>
    <xf numFmtId="0" fontId="16" fillId="0" borderId="88" xfId="98" applyFont="1" applyBorder="1" applyAlignment="1">
      <alignment horizontal="center" vertical="center" wrapText="1"/>
    </xf>
    <xf numFmtId="0" fontId="28" fillId="0" borderId="0" xfId="0" applyFont="1" applyAlignment="1">
      <alignment horizontal="left" vertical="center" wrapText="1"/>
    </xf>
    <xf numFmtId="0" fontId="123" fillId="0" borderId="167" xfId="0" applyFont="1" applyBorder="1" applyAlignment="1">
      <alignment horizontal="center"/>
    </xf>
    <xf numFmtId="0" fontId="3" fillId="0" borderId="0" xfId="0" applyFont="1" applyAlignment="1">
      <alignment horizontal="left" wrapText="1"/>
    </xf>
    <xf numFmtId="0" fontId="126" fillId="0" borderId="120" xfId="0" applyFont="1" applyBorder="1" applyAlignment="1">
      <alignment horizontal="center" vertical="center" wrapText="1"/>
    </xf>
    <xf numFmtId="0" fontId="0" fillId="0" borderId="161" xfId="0" applyBorder="1" applyAlignment="1" applyProtection="1">
      <alignment vertical="top" wrapText="1"/>
      <protection locked="0"/>
    </xf>
    <xf numFmtId="0" fontId="0" fillId="0" borderId="154" xfId="0" applyBorder="1" applyAlignment="1" applyProtection="1">
      <alignment vertical="top" wrapText="1"/>
      <protection locked="0"/>
    </xf>
    <xf numFmtId="0" fontId="0" fillId="0" borderId="73" xfId="0" applyBorder="1" applyAlignment="1" applyProtection="1">
      <alignment vertical="top" wrapText="1"/>
      <protection locked="0"/>
    </xf>
    <xf numFmtId="0" fontId="31" fillId="0" borderId="45" xfId="0" applyFont="1" applyBorder="1" applyAlignment="1">
      <alignment horizontal="center"/>
    </xf>
    <xf numFmtId="0" fontId="31" fillId="0" borderId="12" xfId="0" applyFont="1" applyBorder="1" applyAlignment="1">
      <alignment horizontal="center"/>
    </xf>
    <xf numFmtId="0" fontId="31" fillId="0" borderId="29" xfId="0" applyFont="1" applyBorder="1" applyAlignment="1">
      <alignment horizontal="center"/>
    </xf>
    <xf numFmtId="0" fontId="159" fillId="0" borderId="20" xfId="0" applyFont="1" applyBorder="1" applyAlignment="1">
      <alignment horizontal="left" vertical="center" wrapText="1"/>
    </xf>
    <xf numFmtId="0" fontId="159" fillId="0" borderId="0" xfId="0" applyFont="1" applyAlignment="1">
      <alignment horizontal="left" vertical="center" wrapText="1"/>
    </xf>
    <xf numFmtId="0" fontId="2" fillId="0" borderId="148" xfId="70" applyFont="1" applyBorder="1" applyAlignment="1">
      <alignment horizontal="center" vertical="center" wrapText="1"/>
    </xf>
    <xf numFmtId="0" fontId="6" fillId="0" borderId="159" xfId="70" applyFont="1" applyBorder="1" applyAlignment="1">
      <alignment wrapText="1"/>
    </xf>
    <xf numFmtId="0" fontId="6" fillId="0" borderId="163" xfId="70" applyFont="1" applyBorder="1" applyAlignment="1">
      <alignment wrapText="1"/>
    </xf>
    <xf numFmtId="0" fontId="2" fillId="0" borderId="159" xfId="70" applyFont="1" applyBorder="1" applyAlignment="1">
      <alignment horizontal="center" vertical="center" wrapText="1"/>
    </xf>
    <xf numFmtId="0" fontId="2" fillId="0" borderId="163" xfId="70" applyFont="1" applyBorder="1" applyAlignment="1">
      <alignment horizontal="center" vertical="center" wrapText="1"/>
    </xf>
    <xf numFmtId="0" fontId="3" fillId="0" borderId="159" xfId="70" applyFont="1" applyBorder="1" applyAlignment="1">
      <alignment wrapText="1"/>
    </xf>
    <xf numFmtId="0" fontId="3" fillId="0" borderId="163" xfId="70" applyFont="1" applyBorder="1" applyAlignment="1">
      <alignment wrapText="1"/>
    </xf>
    <xf numFmtId="0" fontId="0" fillId="0" borderId="159" xfId="0" applyBorder="1" applyAlignment="1">
      <alignment horizontal="center" vertical="center" wrapText="1"/>
    </xf>
    <xf numFmtId="0" fontId="0" fillId="0" borderId="163" xfId="0" applyBorder="1" applyAlignment="1">
      <alignment horizontal="center" vertical="center" wrapText="1"/>
    </xf>
    <xf numFmtId="0" fontId="128" fillId="0" borderId="63" xfId="76" applyFont="1" applyBorder="1" applyAlignment="1" applyProtection="1">
      <alignment horizontal="center" vertical="center" wrapText="1"/>
      <protection locked="0"/>
    </xf>
    <xf numFmtId="0" fontId="128" fillId="0" borderId="87" xfId="76" applyFont="1" applyBorder="1" applyAlignment="1" applyProtection="1">
      <alignment horizontal="center" vertical="center" wrapText="1"/>
      <protection locked="0"/>
    </xf>
    <xf numFmtId="0" fontId="128" fillId="0" borderId="59" xfId="76" applyFont="1" applyBorder="1" applyAlignment="1" applyProtection="1">
      <alignment horizontal="center" vertical="center" wrapText="1"/>
      <protection locked="0"/>
    </xf>
    <xf numFmtId="164" fontId="2" fillId="0" borderId="148" xfId="91" applyNumberFormat="1" applyFont="1" applyBorder="1" applyAlignment="1">
      <alignment horizontal="center" vertical="center" wrapText="1"/>
    </xf>
    <xf numFmtId="164" fontId="2" fillId="0" borderId="163" xfId="91" applyNumberFormat="1" applyFont="1" applyBorder="1" applyAlignment="1">
      <alignment horizontal="center" vertical="center" wrapText="1"/>
    </xf>
    <xf numFmtId="49" fontId="128" fillId="0" borderId="63" xfId="76" applyNumberFormat="1" applyFont="1" applyBorder="1" applyAlignment="1" applyProtection="1">
      <alignment horizontal="center" vertical="center" wrapText="1"/>
      <protection locked="0"/>
    </xf>
    <xf numFmtId="49" fontId="128" fillId="0" borderId="87" xfId="76" applyNumberFormat="1" applyFont="1" applyBorder="1" applyAlignment="1" applyProtection="1">
      <alignment horizontal="center" vertical="center" wrapText="1"/>
      <protection locked="0"/>
    </xf>
    <xf numFmtId="49" fontId="128" fillId="0" borderId="59" xfId="76" applyNumberFormat="1" applyFont="1" applyBorder="1" applyAlignment="1" applyProtection="1">
      <alignment horizontal="center" vertical="center" wrapText="1"/>
      <protection locked="0"/>
    </xf>
    <xf numFmtId="0" fontId="0" fillId="0" borderId="0" xfId="0"/>
    <xf numFmtId="0" fontId="160" fillId="0" borderId="120" xfId="0" applyFont="1" applyBorder="1" applyAlignment="1">
      <alignment horizontal="right" vertical="top" wrapText="1"/>
    </xf>
    <xf numFmtId="0" fontId="161" fillId="0" borderId="120" xfId="0" applyFont="1" applyBorder="1" applyAlignment="1">
      <alignment horizontal="right"/>
    </xf>
    <xf numFmtId="3" fontId="15" fillId="0" borderId="125" xfId="0" applyNumberFormat="1" applyFont="1" applyBorder="1" applyProtection="1">
      <protection locked="0"/>
    </xf>
    <xf numFmtId="3" fontId="15" fillId="0" borderId="35" xfId="0" applyNumberFormat="1" applyFont="1" applyBorder="1" applyProtection="1">
      <protection locked="0"/>
    </xf>
    <xf numFmtId="0" fontId="15" fillId="0" borderId="78" xfId="0" applyFont="1" applyBorder="1" applyAlignment="1" applyProtection="1">
      <alignment wrapText="1"/>
      <protection locked="0"/>
    </xf>
    <xf numFmtId="0" fontId="15" fillId="0" borderId="40" xfId="0" applyFont="1" applyBorder="1" applyAlignment="1" applyProtection="1">
      <alignment wrapText="1"/>
      <protection locked="0"/>
    </xf>
    <xf numFmtId="0" fontId="5" fillId="0" borderId="63" xfId="0" applyFont="1" applyBorder="1" applyAlignment="1">
      <alignment horizontal="center"/>
    </xf>
    <xf numFmtId="0" fontId="5" fillId="0" borderId="87" xfId="0" applyFont="1" applyBorder="1" applyAlignment="1">
      <alignment horizontal="center"/>
    </xf>
    <xf numFmtId="0" fontId="5" fillId="0" borderId="59" xfId="0" applyFont="1" applyBorder="1" applyAlignment="1">
      <alignment horizontal="center"/>
    </xf>
    <xf numFmtId="0" fontId="22" fillId="0" borderId="63" xfId="0" applyFont="1" applyBorder="1" applyAlignment="1">
      <alignment horizontal="center" wrapText="1"/>
    </xf>
    <xf numFmtId="0" fontId="22" fillId="0" borderId="87" xfId="0" applyFont="1" applyBorder="1" applyAlignment="1">
      <alignment horizontal="center" wrapText="1"/>
    </xf>
    <xf numFmtId="0" fontId="22" fillId="0" borderId="59" xfId="0" applyFont="1" applyBorder="1" applyAlignment="1">
      <alignment horizontal="center" wrapText="1"/>
    </xf>
    <xf numFmtId="0" fontId="22" fillId="0" borderId="63" xfId="0" applyFont="1" applyBorder="1" applyAlignment="1">
      <alignment horizontal="center"/>
    </xf>
    <xf numFmtId="0" fontId="22" fillId="0" borderId="87" xfId="0" applyFont="1" applyBorder="1" applyAlignment="1">
      <alignment horizontal="center"/>
    </xf>
    <xf numFmtId="0" fontId="22" fillId="0" borderId="59" xfId="0" applyFont="1" applyBorder="1" applyAlignment="1">
      <alignment horizontal="center"/>
    </xf>
    <xf numFmtId="0" fontId="59" fillId="0" borderId="0" xfId="0" applyFont="1" applyAlignment="1">
      <alignment horizontal="center" vertical="center" wrapText="1"/>
    </xf>
    <xf numFmtId="172" fontId="133" fillId="0" borderId="123" xfId="0" applyNumberFormat="1" applyFont="1" applyBorder="1" applyAlignment="1">
      <alignment horizontal="center" vertical="center" wrapText="1"/>
    </xf>
    <xf numFmtId="0" fontId="23" fillId="0" borderId="166" xfId="0" applyFont="1" applyBorder="1" applyAlignment="1">
      <alignment horizontal="left" wrapText="1"/>
    </xf>
    <xf numFmtId="0" fontId="23" fillId="0" borderId="167" xfId="0" applyFont="1" applyBorder="1" applyAlignment="1">
      <alignment horizontal="left" wrapText="1"/>
    </xf>
    <xf numFmtId="0" fontId="23" fillId="0" borderId="108" xfId="0" applyFont="1" applyBorder="1" applyAlignment="1">
      <alignment horizontal="left" wrapText="1"/>
    </xf>
    <xf numFmtId="10" fontId="3" fillId="0" borderId="173" xfId="103" applyNumberFormat="1" applyFont="1" applyBorder="1" applyAlignment="1">
      <alignment horizontal="center" vertical="center" wrapText="1"/>
    </xf>
    <xf numFmtId="10" fontId="3" fillId="0" borderId="159" xfId="103" applyNumberFormat="1" applyFont="1" applyBorder="1" applyAlignment="1">
      <alignment horizontal="center" vertical="center" wrapText="1"/>
    </xf>
    <xf numFmtId="10" fontId="3" fillId="0" borderId="163" xfId="103" applyNumberFormat="1" applyFont="1" applyBorder="1" applyAlignment="1">
      <alignment horizontal="center" vertical="center" wrapText="1"/>
    </xf>
    <xf numFmtId="0" fontId="10" fillId="0" borderId="161" xfId="0" applyFont="1" applyBorder="1" applyAlignment="1">
      <alignment horizontal="right"/>
    </xf>
    <xf numFmtId="0" fontId="10" fillId="0" borderId="154" xfId="0" applyFont="1" applyBorder="1" applyAlignment="1">
      <alignment horizontal="right"/>
    </xf>
    <xf numFmtId="0" fontId="10" fillId="0" borderId="162" xfId="0" applyFont="1" applyBorder="1" applyAlignment="1">
      <alignment horizontal="right"/>
    </xf>
    <xf numFmtId="3" fontId="38" fillId="0" borderId="152" xfId="0" applyNumberFormat="1" applyFont="1" applyBorder="1" applyAlignment="1">
      <alignment horizontal="center"/>
    </xf>
    <xf numFmtId="0" fontId="56" fillId="0" borderId="167" xfId="0" applyFont="1" applyBorder="1"/>
    <xf numFmtId="0" fontId="56" fillId="0" borderId="108" xfId="0" applyFont="1" applyBorder="1"/>
    <xf numFmtId="0" fontId="10" fillId="0" borderId="166" xfId="0" applyFont="1" applyBorder="1" applyAlignment="1">
      <alignment horizontal="center" vertical="center" wrapText="1"/>
    </xf>
    <xf numFmtId="0" fontId="10" fillId="0" borderId="167" xfId="0" applyFont="1" applyBorder="1" applyAlignment="1">
      <alignment horizontal="center" vertical="center" wrapText="1"/>
    </xf>
    <xf numFmtId="0" fontId="10" fillId="0" borderId="108" xfId="0" applyFont="1" applyBorder="1" applyAlignment="1">
      <alignment horizontal="center" vertical="center" wrapText="1"/>
    </xf>
    <xf numFmtId="0" fontId="14" fillId="0" borderId="10" xfId="0" applyFont="1" applyBorder="1" applyAlignment="1">
      <alignment horizontal="center" vertical="center"/>
    </xf>
    <xf numFmtId="0" fontId="14" fillId="0" borderId="92" xfId="0" applyFont="1" applyBorder="1" applyAlignment="1">
      <alignment horizontal="center" vertical="center"/>
    </xf>
    <xf numFmtId="0" fontId="14" fillId="0" borderId="78" xfId="0" applyFont="1" applyBorder="1" applyAlignment="1">
      <alignment horizontal="center" vertical="center"/>
    </xf>
    <xf numFmtId="0" fontId="14" fillId="0" borderId="20" xfId="0" applyFont="1" applyBorder="1" applyAlignment="1">
      <alignment horizontal="center" vertical="center"/>
    </xf>
    <xf numFmtId="0" fontId="14" fillId="0" borderId="0" xfId="0" applyFont="1" applyAlignment="1">
      <alignment horizontal="center" vertical="center"/>
    </xf>
    <xf numFmtId="0" fontId="14" fillId="0" borderId="40" xfId="0" applyFont="1" applyBorder="1" applyAlignment="1">
      <alignment horizontal="center" vertical="center"/>
    </xf>
    <xf numFmtId="0" fontId="14" fillId="0" borderId="15" xfId="0" applyFont="1" applyBorder="1" applyAlignment="1">
      <alignment horizontal="center" vertical="center"/>
    </xf>
    <xf numFmtId="0" fontId="14" fillId="0" borderId="120" xfId="0" applyFont="1" applyBorder="1" applyAlignment="1">
      <alignment horizontal="center" vertical="center"/>
    </xf>
    <xf numFmtId="0" fontId="14" fillId="0" borderId="157" xfId="0" applyFont="1" applyBorder="1" applyAlignment="1">
      <alignment horizontal="center" vertical="center"/>
    </xf>
    <xf numFmtId="0" fontId="14" fillId="0" borderId="166" xfId="0" applyFont="1" applyBorder="1" applyAlignment="1">
      <alignment horizontal="center" vertical="center" wrapText="1"/>
    </xf>
    <xf numFmtId="0" fontId="14" fillId="0" borderId="167" xfId="0" applyFont="1" applyBorder="1" applyAlignment="1">
      <alignment horizontal="center" vertical="center" wrapText="1"/>
    </xf>
    <xf numFmtId="0" fontId="14" fillId="0" borderId="108" xfId="0" applyFont="1" applyBorder="1" applyAlignment="1">
      <alignment horizontal="center" vertical="center" wrapText="1"/>
    </xf>
    <xf numFmtId="0" fontId="14" fillId="0" borderId="166" xfId="0" applyFont="1" applyBorder="1" applyAlignment="1">
      <alignment horizontal="center" vertical="center"/>
    </xf>
    <xf numFmtId="0" fontId="30" fillId="0" borderId="167" xfId="0" applyFont="1" applyBorder="1" applyAlignment="1">
      <alignment horizontal="center" vertical="center"/>
    </xf>
    <xf numFmtId="0" fontId="30" fillId="0" borderId="108" xfId="0" applyFont="1" applyBorder="1" applyAlignment="1">
      <alignment horizontal="center" vertical="center"/>
    </xf>
    <xf numFmtId="0" fontId="30" fillId="0" borderId="92" xfId="0" applyFont="1" applyBorder="1" applyAlignment="1">
      <alignment horizontal="center" vertical="center"/>
    </xf>
    <xf numFmtId="0" fontId="30" fillId="0" borderId="78" xfId="0" applyFont="1" applyBorder="1" applyAlignment="1">
      <alignment horizontal="center" vertical="center"/>
    </xf>
    <xf numFmtId="0" fontId="30" fillId="0" borderId="20" xfId="0" applyFont="1" applyBorder="1" applyAlignment="1">
      <alignment horizontal="center" vertical="center"/>
    </xf>
    <xf numFmtId="0" fontId="30" fillId="0" borderId="0" xfId="0" applyFont="1" applyAlignment="1">
      <alignment horizontal="center" vertical="center"/>
    </xf>
    <xf numFmtId="0" fontId="30" fillId="0" borderId="40" xfId="0" applyFont="1" applyBorder="1" applyAlignment="1">
      <alignment horizontal="center" vertical="center"/>
    </xf>
    <xf numFmtId="0" fontId="30" fillId="0" borderId="15" xfId="0" applyFont="1" applyBorder="1" applyAlignment="1">
      <alignment horizontal="center" vertical="center"/>
    </xf>
    <xf numFmtId="0" fontId="30" fillId="0" borderId="120" xfId="0" applyFont="1" applyBorder="1" applyAlignment="1">
      <alignment horizontal="center" vertical="center"/>
    </xf>
    <xf numFmtId="0" fontId="30" fillId="0" borderId="157" xfId="0" applyFont="1" applyBorder="1" applyAlignment="1">
      <alignment horizontal="center" vertical="center"/>
    </xf>
    <xf numFmtId="0" fontId="14" fillId="0" borderId="167" xfId="0" applyFont="1" applyBorder="1" applyAlignment="1">
      <alignment horizontal="center" vertical="center"/>
    </xf>
    <xf numFmtId="0" fontId="14" fillId="0" borderId="108" xfId="0" applyFont="1" applyBorder="1" applyAlignment="1">
      <alignment horizontal="center" vertical="center"/>
    </xf>
    <xf numFmtId="0" fontId="138" fillId="29" borderId="0" xfId="0" applyFont="1" applyFill="1" applyAlignment="1">
      <alignment horizontal="center"/>
    </xf>
    <xf numFmtId="0" fontId="7" fillId="0" borderId="0" xfId="0" applyFont="1" applyAlignment="1">
      <alignment horizontal="center" vertical="top" wrapText="1"/>
    </xf>
    <xf numFmtId="0" fontId="9" fillId="0" borderId="0" xfId="0" applyFont="1" applyAlignment="1">
      <alignment horizontal="left" wrapText="1"/>
    </xf>
    <xf numFmtId="0" fontId="23" fillId="24" borderId="10" xfId="0" applyFont="1" applyFill="1" applyBorder="1" applyAlignment="1">
      <alignment horizontal="center" vertical="center" wrapText="1"/>
    </xf>
    <xf numFmtId="0" fontId="23" fillId="24" borderId="92" xfId="0" applyFont="1" applyFill="1" applyBorder="1" applyAlignment="1">
      <alignment horizontal="center" vertical="center" wrapText="1"/>
    </xf>
    <xf numFmtId="0" fontId="23" fillId="24" borderId="78" xfId="0" applyFont="1" applyFill="1" applyBorder="1" applyAlignment="1">
      <alignment horizontal="center" vertical="center" wrapText="1"/>
    </xf>
    <xf numFmtId="0" fontId="23" fillId="24" borderId="103" xfId="0" applyFont="1" applyFill="1" applyBorder="1" applyAlignment="1">
      <alignment horizontal="center" vertical="center" wrapText="1"/>
    </xf>
    <xf numFmtId="0" fontId="23" fillId="24" borderId="146" xfId="0" applyFont="1" applyFill="1" applyBorder="1" applyAlignment="1">
      <alignment horizontal="center" vertical="center" wrapText="1"/>
    </xf>
    <xf numFmtId="0" fontId="23" fillId="24" borderId="147" xfId="0" applyFont="1" applyFill="1" applyBorder="1" applyAlignment="1">
      <alignment horizontal="center" vertical="center" wrapText="1"/>
    </xf>
    <xf numFmtId="0" fontId="23" fillId="0" borderId="166" xfId="0" applyFont="1" applyBorder="1" applyAlignment="1">
      <alignment horizontal="left" vertical="top" wrapText="1"/>
    </xf>
    <xf numFmtId="0" fontId="23" fillId="0" borderId="167" xfId="0" applyFont="1" applyBorder="1" applyAlignment="1">
      <alignment horizontal="left" vertical="top" wrapText="1"/>
    </xf>
    <xf numFmtId="0" fontId="23" fillId="0" borderId="108" xfId="0" applyFont="1" applyBorder="1" applyAlignment="1">
      <alignment horizontal="left" vertical="top" wrapText="1"/>
    </xf>
    <xf numFmtId="0" fontId="2" fillId="0" borderId="120" xfId="0" applyFont="1" applyBorder="1" applyAlignment="1">
      <alignment horizontal="center" vertical="top"/>
    </xf>
    <xf numFmtId="0" fontId="23" fillId="0" borderId="80" xfId="0" applyFont="1" applyBorder="1" applyAlignment="1">
      <alignment horizontal="center" wrapText="1"/>
    </xf>
  </cellXfs>
  <cellStyles count="130">
    <cellStyle name="20% - Colore 1" xfId="1" builtinId="30" customBuiltin="1"/>
    <cellStyle name="20% - Colore 1 2" xfId="2" xr:uid="{00000000-0005-0000-0000-000001000000}"/>
    <cellStyle name="20% - Colore 2" xfId="3" builtinId="34" customBuiltin="1"/>
    <cellStyle name="20% - Colore 2 2" xfId="4" xr:uid="{00000000-0005-0000-0000-000003000000}"/>
    <cellStyle name="20% - Colore 3" xfId="5" builtinId="38" customBuiltin="1"/>
    <cellStyle name="20% - Colore 3 2" xfId="6" xr:uid="{00000000-0005-0000-0000-000005000000}"/>
    <cellStyle name="20% - Colore 4" xfId="7" builtinId="42" customBuiltin="1"/>
    <cellStyle name="20% - Colore 4 2" xfId="8" xr:uid="{00000000-0005-0000-0000-000007000000}"/>
    <cellStyle name="20% - Colore 5" xfId="9" builtinId="46" customBuiltin="1"/>
    <cellStyle name="20% - Colore 5 2" xfId="10" xr:uid="{00000000-0005-0000-0000-000009000000}"/>
    <cellStyle name="20% - Colore 6" xfId="11" builtinId="50" customBuiltin="1"/>
    <cellStyle name="20% - Colore 6 2" xfId="12" xr:uid="{00000000-0005-0000-0000-00000B000000}"/>
    <cellStyle name="40% - Colore 1" xfId="13" builtinId="31" customBuiltin="1"/>
    <cellStyle name="40% - Colore 1 2" xfId="14" xr:uid="{00000000-0005-0000-0000-00000D000000}"/>
    <cellStyle name="40% - Colore 2" xfId="15" builtinId="35" customBuiltin="1"/>
    <cellStyle name="40% - Colore 2 2" xfId="16" xr:uid="{00000000-0005-0000-0000-00000F000000}"/>
    <cellStyle name="40% - Colore 3" xfId="17" builtinId="39" customBuiltin="1"/>
    <cellStyle name="40% - Colore 3 2" xfId="18" xr:uid="{00000000-0005-0000-0000-000011000000}"/>
    <cellStyle name="40% - Colore 4" xfId="19" builtinId="43" customBuiltin="1"/>
    <cellStyle name="40% - Colore 4 2" xfId="20" xr:uid="{00000000-0005-0000-0000-000013000000}"/>
    <cellStyle name="40% - Colore 5" xfId="21" builtinId="47" customBuiltin="1"/>
    <cellStyle name="40% - Colore 5 2" xfId="22" xr:uid="{00000000-0005-0000-0000-000015000000}"/>
    <cellStyle name="40% - Colore 6" xfId="23" builtinId="51" customBuiltin="1"/>
    <cellStyle name="40% - Colore 6 2" xfId="24" xr:uid="{00000000-0005-0000-0000-000017000000}"/>
    <cellStyle name="60% - Colore 1" xfId="25" builtinId="32" customBuiltin="1"/>
    <cellStyle name="60% - Colore 1 2" xfId="26" xr:uid="{00000000-0005-0000-0000-000019000000}"/>
    <cellStyle name="60% - Colore 2" xfId="27" builtinId="36" customBuiltin="1"/>
    <cellStyle name="60% - Colore 2 2" xfId="28" xr:uid="{00000000-0005-0000-0000-00001B000000}"/>
    <cellStyle name="60% - Colore 3" xfId="29" builtinId="40" customBuiltin="1"/>
    <cellStyle name="60% - Colore 3 2" xfId="30" xr:uid="{00000000-0005-0000-0000-00001D000000}"/>
    <cellStyle name="60% - Colore 4" xfId="31" builtinId="44" customBuiltin="1"/>
    <cellStyle name="60% - Colore 4 2" xfId="32" xr:uid="{00000000-0005-0000-0000-00001F000000}"/>
    <cellStyle name="60% - Colore 5" xfId="33" builtinId="48" customBuiltin="1"/>
    <cellStyle name="60% - Colore 5 2" xfId="34" xr:uid="{00000000-0005-0000-0000-000021000000}"/>
    <cellStyle name="60% - Colore 6" xfId="35" builtinId="52" customBuiltin="1"/>
    <cellStyle name="60% - Colore 6 2" xfId="36" xr:uid="{00000000-0005-0000-0000-000023000000}"/>
    <cellStyle name="Calcolo" xfId="37" builtinId="22" customBuiltin="1"/>
    <cellStyle name="Calcolo 2" xfId="38" xr:uid="{00000000-0005-0000-0000-000025000000}"/>
    <cellStyle name="Cella collegata" xfId="39" builtinId="24" customBuiltin="1"/>
    <cellStyle name="Cella collegata 2" xfId="40" xr:uid="{00000000-0005-0000-0000-000027000000}"/>
    <cellStyle name="Cella da controllare" xfId="41" builtinId="23" customBuiltin="1"/>
    <cellStyle name="Cella da controllare 2" xfId="42" xr:uid="{00000000-0005-0000-0000-000029000000}"/>
    <cellStyle name="Collegamento ipertestuale" xfId="43" builtinId="8"/>
    <cellStyle name="Colore 1" xfId="44" builtinId="29" customBuiltin="1"/>
    <cellStyle name="Colore 1 2" xfId="45" xr:uid="{00000000-0005-0000-0000-00002C000000}"/>
    <cellStyle name="Colore 2" xfId="46" builtinId="33" customBuiltin="1"/>
    <cellStyle name="Colore 2 2" xfId="47" xr:uid="{00000000-0005-0000-0000-00002E000000}"/>
    <cellStyle name="Colore 3" xfId="48" builtinId="37" customBuiltin="1"/>
    <cellStyle name="Colore 3 2" xfId="49" xr:uid="{00000000-0005-0000-0000-000030000000}"/>
    <cellStyle name="Colore 4" xfId="50" builtinId="41" customBuiltin="1"/>
    <cellStyle name="Colore 4 2" xfId="51" xr:uid="{00000000-0005-0000-0000-000032000000}"/>
    <cellStyle name="Colore 5" xfId="52" builtinId="45" customBuiltin="1"/>
    <cellStyle name="Colore 5 2" xfId="53" xr:uid="{00000000-0005-0000-0000-000034000000}"/>
    <cellStyle name="Colore 6" xfId="54" builtinId="49" customBuiltin="1"/>
    <cellStyle name="Colore 6 2" xfId="55" xr:uid="{00000000-0005-0000-0000-000036000000}"/>
    <cellStyle name="Euro" xfId="56" xr:uid="{00000000-0005-0000-0000-000037000000}"/>
    <cellStyle name="Input" xfId="57" builtinId="20" customBuiltin="1"/>
    <cellStyle name="Input 2" xfId="58" xr:uid="{00000000-0005-0000-0000-000039000000}"/>
    <cellStyle name="Logico" xfId="59" xr:uid="{00000000-0005-0000-0000-00003A000000}"/>
    <cellStyle name="Migliaia" xfId="60" builtinId="3"/>
    <cellStyle name="Migliaia (0)_3tabella15" xfId="61" xr:uid="{00000000-0005-0000-0000-00003C000000}"/>
    <cellStyle name="Migliaia 2" xfId="62" xr:uid="{00000000-0005-0000-0000-00003D000000}"/>
    <cellStyle name="Migliaia 2 2" xfId="63" xr:uid="{00000000-0005-0000-0000-00003E000000}"/>
    <cellStyle name="Migliaia 3" xfId="64" xr:uid="{00000000-0005-0000-0000-00003F000000}"/>
    <cellStyle name="Migliaia 4" xfId="65" xr:uid="{00000000-0005-0000-0000-000040000000}"/>
    <cellStyle name="Migliaia 5" xfId="66" xr:uid="{00000000-0005-0000-0000-000041000000}"/>
    <cellStyle name="Neutrale" xfId="67" builtinId="28" customBuiltin="1"/>
    <cellStyle name="Neutrale 2" xfId="68" xr:uid="{00000000-0005-0000-0000-000043000000}"/>
    <cellStyle name="Normale" xfId="0" builtinId="0"/>
    <cellStyle name="Normale 10" xfId="69" xr:uid="{00000000-0005-0000-0000-000045000000}"/>
    <cellStyle name="Normale 2" xfId="70" xr:uid="{00000000-0005-0000-0000-000046000000}"/>
    <cellStyle name="Normale 2 2" xfId="71" xr:uid="{00000000-0005-0000-0000-000047000000}"/>
    <cellStyle name="Normale 2 2 2" xfId="72" xr:uid="{00000000-0005-0000-0000-000048000000}"/>
    <cellStyle name="Normale 2 3" xfId="73" xr:uid="{00000000-0005-0000-0000-000049000000}"/>
    <cellStyle name="Normale 2 4" xfId="74" xr:uid="{00000000-0005-0000-0000-00004A000000}"/>
    <cellStyle name="Normale 3" xfId="75" xr:uid="{00000000-0005-0000-0000-00004B000000}"/>
    <cellStyle name="Normale 3 2" xfId="76" xr:uid="{00000000-0005-0000-0000-00004C000000}"/>
    <cellStyle name="Normale 3 3" xfId="77" xr:uid="{00000000-0005-0000-0000-00004D000000}"/>
    <cellStyle name="Normale 4" xfId="78" xr:uid="{00000000-0005-0000-0000-00004E000000}"/>
    <cellStyle name="Normale 4 2" xfId="79" xr:uid="{00000000-0005-0000-0000-00004F000000}"/>
    <cellStyle name="Normale 4 3" xfId="80" xr:uid="{00000000-0005-0000-0000-000050000000}"/>
    <cellStyle name="Normale 5" xfId="81" xr:uid="{00000000-0005-0000-0000-000051000000}"/>
    <cellStyle name="Normale 5 2" xfId="82" xr:uid="{00000000-0005-0000-0000-000052000000}"/>
    <cellStyle name="Normale 6" xfId="83" xr:uid="{00000000-0005-0000-0000-000053000000}"/>
    <cellStyle name="Normale 7" xfId="84" xr:uid="{00000000-0005-0000-0000-000054000000}"/>
    <cellStyle name="Normale 8" xfId="85" xr:uid="{00000000-0005-0000-0000-000055000000}"/>
    <cellStyle name="Normale 9" xfId="86" xr:uid="{00000000-0005-0000-0000-000056000000}"/>
    <cellStyle name="Normale_ENTI LOCALI  2000" xfId="87" xr:uid="{00000000-0005-0000-0000-000057000000}"/>
    <cellStyle name="Normale_Foglio1" xfId="128" xr:uid="{13403F81-096F-429B-84D2-2A31114B5895}"/>
    <cellStyle name="Normale_MINISTERI" xfId="88" xr:uid="{00000000-0005-0000-0000-000058000000}"/>
    <cellStyle name="Normale_modello si2 raln_MODIFICATO_ALESSIO" xfId="89" xr:uid="{00000000-0005-0000-0000-000059000000}"/>
    <cellStyle name="Normale_PRINFEL98" xfId="90" xr:uid="{00000000-0005-0000-0000-00005A000000}"/>
    <cellStyle name="Normale_PRINFEL98_modello si2 raln_MODIFICATO_ALESSIO 2" xfId="91" xr:uid="{00000000-0005-0000-0000-00005B000000}"/>
    <cellStyle name="Normale_Prospetto informativo 2001" xfId="92" xr:uid="{00000000-0005-0000-0000-00005C000000}"/>
    <cellStyle name="Normale_Sanità 2005 nuove tabelle e qualifiche" xfId="129" xr:uid="{67DBDA68-5E2B-4E58-8A6C-DEC8D8AAA873}"/>
    <cellStyle name="Normale_tabella 4" xfId="93" xr:uid="{00000000-0005-0000-0000-00005D000000}"/>
    <cellStyle name="Normale_tabella 5" xfId="94" xr:uid="{00000000-0005-0000-0000-00005E000000}"/>
    <cellStyle name="Normale_tabella 6" xfId="95" xr:uid="{00000000-0005-0000-0000-00005F000000}"/>
    <cellStyle name="Normale_tabella 7" xfId="96" xr:uid="{00000000-0005-0000-0000-000060000000}"/>
    <cellStyle name="Normale_tabella 8" xfId="97" xr:uid="{00000000-0005-0000-0000-000061000000}"/>
    <cellStyle name="Normale_tabella 9" xfId="98" xr:uid="{00000000-0005-0000-0000-000062000000}"/>
    <cellStyle name="Nota" xfId="99" builtinId="10" customBuiltin="1"/>
    <cellStyle name="Nota 2" xfId="100" xr:uid="{00000000-0005-0000-0000-000064000000}"/>
    <cellStyle name="Output" xfId="101" builtinId="21" customBuiltin="1"/>
    <cellStyle name="Output 2" xfId="102" xr:uid="{00000000-0005-0000-0000-000066000000}"/>
    <cellStyle name="Percentuale" xfId="103" builtinId="5"/>
    <cellStyle name="Percentuale 2" xfId="104" xr:uid="{00000000-0005-0000-0000-000068000000}"/>
    <cellStyle name="Percentuale 2 2" xfId="105" xr:uid="{00000000-0005-0000-0000-000069000000}"/>
    <cellStyle name="Percentuale 3" xfId="106" xr:uid="{00000000-0005-0000-0000-00006A000000}"/>
    <cellStyle name="Testo avviso" xfId="107" builtinId="11" customBuiltin="1"/>
    <cellStyle name="Testo avviso 2" xfId="108" xr:uid="{00000000-0005-0000-0000-00006C000000}"/>
    <cellStyle name="Testo descrittivo" xfId="109" builtinId="53" customBuiltin="1"/>
    <cellStyle name="Testo descrittivo 2" xfId="110" xr:uid="{00000000-0005-0000-0000-00006E000000}"/>
    <cellStyle name="Titolo" xfId="111" builtinId="15" customBuiltin="1"/>
    <cellStyle name="Titolo 1" xfId="112" builtinId="16" customBuiltin="1"/>
    <cellStyle name="Titolo 1 2" xfId="113" xr:uid="{00000000-0005-0000-0000-000071000000}"/>
    <cellStyle name="Titolo 2" xfId="114" builtinId="17" customBuiltin="1"/>
    <cellStyle name="Titolo 2 2" xfId="115" xr:uid="{00000000-0005-0000-0000-000073000000}"/>
    <cellStyle name="Titolo 3" xfId="116" builtinId="18" customBuiltin="1"/>
    <cellStyle name="Titolo 3 2" xfId="117" xr:uid="{00000000-0005-0000-0000-000075000000}"/>
    <cellStyle name="Titolo 4" xfId="118" builtinId="19" customBuiltin="1"/>
    <cellStyle name="Titolo 4 2" xfId="119" xr:uid="{00000000-0005-0000-0000-000077000000}"/>
    <cellStyle name="Titolo 5" xfId="120" xr:uid="{00000000-0005-0000-0000-000078000000}"/>
    <cellStyle name="Totale" xfId="121" builtinId="25" customBuiltin="1"/>
    <cellStyle name="Totale 2" xfId="122" xr:uid="{00000000-0005-0000-0000-00007A000000}"/>
    <cellStyle name="Valore non valido" xfId="123" builtinId="27" customBuiltin="1"/>
    <cellStyle name="Valore non valido 2" xfId="124" xr:uid="{00000000-0005-0000-0000-00007C000000}"/>
    <cellStyle name="Valore valido" xfId="125" builtinId="26" customBuiltin="1"/>
    <cellStyle name="Valore valido 2" xfId="126" xr:uid="{00000000-0005-0000-0000-00007E000000}"/>
    <cellStyle name="Valuta (0)_3tabella15" xfId="127" xr:uid="{00000000-0005-0000-0000-00007F000000}"/>
  </cellStyles>
  <dxfs count="51">
    <dxf>
      <font>
        <color rgb="FF9C0006"/>
      </font>
      <fill>
        <patternFill>
          <bgColor rgb="FFFFC7CE"/>
        </patternFill>
      </fill>
    </dxf>
    <dxf>
      <font>
        <color rgb="FFFF0000"/>
      </font>
    </dxf>
    <dxf>
      <font>
        <color rgb="FFFF0000"/>
      </font>
    </dxf>
    <dxf>
      <font>
        <color rgb="FFFF0000"/>
      </font>
    </dxf>
    <dxf>
      <font>
        <b/>
        <i val="0"/>
        <color rgb="FFFF0000"/>
      </font>
      <fill>
        <patternFill>
          <bgColor theme="9" tint="0.7999816888943144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FF0000"/>
      </font>
      <fill>
        <patternFill>
          <bgColor theme="9" tint="0.7999816888943144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FF0000"/>
      </font>
      <fill>
        <patternFill>
          <bgColor theme="9" tint="0.79998168889431442"/>
        </patternFill>
      </fill>
    </dxf>
    <dxf>
      <font>
        <b/>
        <i val="0"/>
        <color rgb="FFFF0000"/>
      </font>
      <fill>
        <patternFill>
          <bgColor theme="9" tint="0.7999816888943144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FF0000"/>
      </font>
      <fill>
        <patternFill>
          <bgColor theme="9" tint="0.79998168889431442"/>
        </patternFill>
      </fill>
    </dxf>
    <dxf>
      <font>
        <color rgb="FF9C0006"/>
      </font>
      <fill>
        <patternFill>
          <bgColor rgb="FFFFC7CE"/>
        </patternFill>
      </fill>
    </dxf>
    <dxf>
      <font>
        <color rgb="FF9C0006"/>
      </font>
      <fill>
        <patternFill>
          <bgColor rgb="FFFFC7CE"/>
        </patternFill>
      </fill>
    </dxf>
    <dxf>
      <font>
        <b/>
        <i val="0"/>
        <color rgb="FFFF0000"/>
      </font>
      <fill>
        <patternFill>
          <bgColor theme="9" tint="0.7999816888943144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FF0000"/>
      </font>
      <fill>
        <patternFill>
          <bgColor theme="9" tint="0.79998168889431442"/>
        </patternFill>
      </fill>
    </dxf>
    <dxf>
      <font>
        <b/>
        <i val="0"/>
        <color rgb="FFFF0000"/>
      </font>
      <fill>
        <patternFill>
          <bgColor theme="9" tint="0.7999816888943144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FF0000"/>
      </font>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ont>
        <color theme="1"/>
      </font>
    </dxf>
    <dxf>
      <font>
        <color rgb="FFFF0000"/>
      </font>
    </dxf>
    <dxf>
      <font>
        <color rgb="FFFF0000"/>
      </font>
    </dxf>
    <dxf>
      <fill>
        <patternFill>
          <bgColor theme="9" tint="0.59996337778862885"/>
        </patternFill>
      </fill>
    </dxf>
    <dxf>
      <fill>
        <patternFill>
          <bgColor theme="9" tint="0.59996337778862885"/>
        </patternFill>
      </fill>
    </dxf>
    <dxf>
      <fill>
        <patternFill>
          <bgColor theme="9" tint="0.59996337778862885"/>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sheetMetadata" Target="metadata.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313197370288698E-3"/>
          <c:y val="0.19917335278385606"/>
          <c:w val="0.99172935714706101"/>
          <c:h val="0.2738633600778021"/>
        </c:manualLayout>
      </c:layout>
      <c:barChart>
        <c:barDir val="col"/>
        <c:grouping val="clustered"/>
        <c:varyColors val="0"/>
        <c:ser>
          <c:idx val="0"/>
          <c:order val="0"/>
          <c:spPr>
            <a:solidFill>
              <a:srgbClr val="000000"/>
            </a:solidFill>
            <a:ln w="12700">
              <a:solidFill>
                <a:srgbClr val="000000"/>
              </a:solidFill>
              <a:prstDash val="solid"/>
            </a:ln>
          </c:spPr>
          <c:invertIfNegative val="0"/>
          <c:cat>
            <c:strRef>
              <c:f>SI_1!$B$222:$B$241</c:f>
              <c:strCache>
                <c:ptCount val="20"/>
                <c:pt idx="0">
                  <c:v>TFAM</c:v>
                </c:pt>
                <c:pt idx="1">
                  <c:v>T1</c:v>
                </c:pt>
                <c:pt idx="2">
                  <c:v>1E</c:v>
                </c:pt>
                <c:pt idx="3">
                  <c:v>T2</c:v>
                </c:pt>
                <c:pt idx="4">
                  <c:v>T2A</c:v>
                </c:pt>
                <c:pt idx="5">
                  <c:v>T3</c:v>
                </c:pt>
                <c:pt idx="6">
                  <c:v>T4</c:v>
                </c:pt>
                <c:pt idx="7">
                  <c:v>T5</c:v>
                </c:pt>
                <c:pt idx="8">
                  <c:v>T6</c:v>
                </c:pt>
                <c:pt idx="9">
                  <c:v>T7</c:v>
                </c:pt>
                <c:pt idx="10">
                  <c:v>T8</c:v>
                </c:pt>
                <c:pt idx="11">
                  <c:v>T9</c:v>
                </c:pt>
                <c:pt idx="12">
                  <c:v>T10</c:v>
                </c:pt>
                <c:pt idx="13">
                  <c:v>T11</c:v>
                </c:pt>
                <c:pt idx="14">
                  <c:v>T12</c:v>
                </c:pt>
                <c:pt idx="15">
                  <c:v>T13</c:v>
                </c:pt>
                <c:pt idx="16">
                  <c:v>T14</c:v>
                </c:pt>
                <c:pt idx="17">
                  <c:v>T15</c:v>
                </c:pt>
                <c:pt idx="18">
                  <c:v>SICI</c:v>
                </c:pt>
                <c:pt idx="19">
                  <c:v>TRC</c:v>
                </c:pt>
              </c:strCache>
            </c:strRef>
          </c:cat>
          <c:val>
            <c:numRef>
              <c:f>SI_1!$C$222:$C$241</c:f>
              <c:numCache>
                <c:formatCode>General</c:formatCode>
                <c:ptCount val="20"/>
                <c:pt idx="0">
                  <c:v>1</c:v>
                </c:pt>
                <c:pt idx="1">
                  <c:v>1</c:v>
                </c:pt>
                <c:pt idx="2">
                  <c:v>1</c:v>
                </c:pt>
                <c:pt idx="3">
                  <c:v>0</c:v>
                </c:pt>
                <c:pt idx="4">
                  <c:v>0</c:v>
                </c:pt>
                <c:pt idx="5">
                  <c:v>0</c:v>
                </c:pt>
                <c:pt idx="6">
                  <c:v>0</c:v>
                </c:pt>
                <c:pt idx="7">
                  <c:v>0</c:v>
                </c:pt>
                <c:pt idx="8">
                  <c:v>0</c:v>
                </c:pt>
                <c:pt idx="9">
                  <c:v>1</c:v>
                </c:pt>
                <c:pt idx="10">
                  <c:v>1</c:v>
                </c:pt>
                <c:pt idx="11">
                  <c:v>1</c:v>
                </c:pt>
                <c:pt idx="12">
                  <c:v>1</c:v>
                </c:pt>
                <c:pt idx="13">
                  <c:v>1</c:v>
                </c:pt>
                <c:pt idx="14">
                  <c:v>1</c:v>
                </c:pt>
                <c:pt idx="15">
                  <c:v>1</c:v>
                </c:pt>
                <c:pt idx="16">
                  <c:v>1</c:v>
                </c:pt>
                <c:pt idx="17">
                  <c:v>0</c:v>
                </c:pt>
                <c:pt idx="18">
                  <c:v>0</c:v>
                </c:pt>
                <c:pt idx="19">
                  <c:v>1</c:v>
                </c:pt>
              </c:numCache>
            </c:numRef>
          </c:val>
          <c:extLst>
            <c:ext xmlns:c16="http://schemas.microsoft.com/office/drawing/2014/chart" uri="{C3380CC4-5D6E-409C-BE32-E72D297353CC}">
              <c16:uniqueId val="{00000000-FDE8-468E-8B62-C39DA0301395}"/>
            </c:ext>
          </c:extLst>
        </c:ser>
        <c:dLbls>
          <c:showLegendKey val="0"/>
          <c:showVal val="0"/>
          <c:showCatName val="0"/>
          <c:showSerName val="0"/>
          <c:showPercent val="0"/>
          <c:showBubbleSize val="0"/>
        </c:dLbls>
        <c:gapWidth val="150"/>
        <c:axId val="1378333168"/>
        <c:axId val="1"/>
      </c:barChart>
      <c:catAx>
        <c:axId val="1378333168"/>
        <c:scaling>
          <c:orientation val="minMax"/>
        </c:scaling>
        <c:delete val="0"/>
        <c:axPos val="b"/>
        <c:numFmt formatCode="General" sourceLinked="1"/>
        <c:majorTickMark val="out"/>
        <c:minorTickMark val="none"/>
        <c:tickLblPos val="nextTo"/>
        <c:spPr>
          <a:ln w="9525">
            <a:noFill/>
          </a:ln>
        </c:spPr>
        <c:txPr>
          <a:bodyPr rot="0" vert="horz"/>
          <a:lstStyle/>
          <a:p>
            <a:pPr>
              <a:defRPr sz="800" b="1" i="0" u="none" strike="noStrike" baseline="0">
                <a:solidFill>
                  <a:srgbClr val="000000"/>
                </a:solidFill>
                <a:latin typeface="Arial"/>
                <a:ea typeface="Arial"/>
                <a:cs typeface="Arial"/>
              </a:defRPr>
            </a:pPr>
            <a:endParaRPr lang="it-IT"/>
          </a:p>
        </c:txPr>
        <c:crossAx val="1"/>
        <c:crossesAt val="0"/>
        <c:auto val="1"/>
        <c:lblAlgn val="ctr"/>
        <c:lblOffset val="100"/>
        <c:tickLblSkip val="1"/>
        <c:tickMarkSkip val="1"/>
        <c:noMultiLvlLbl val="0"/>
      </c:catAx>
      <c:valAx>
        <c:axId val="1"/>
        <c:scaling>
          <c:orientation val="minMax"/>
          <c:max val="1"/>
        </c:scaling>
        <c:delete val="1"/>
        <c:axPos val="l"/>
        <c:numFmt formatCode="General" sourceLinked="1"/>
        <c:majorTickMark val="out"/>
        <c:minorTickMark val="none"/>
        <c:tickLblPos val="nextTo"/>
        <c:crossAx val="1378333168"/>
        <c:crosses val="autoZero"/>
        <c:crossBetween val="between"/>
        <c:majorUnit val="1"/>
        <c:minorUnit val="0.04"/>
      </c:valAx>
      <c:spPr>
        <a:noFill/>
        <a:ln w="25400">
          <a:noFill/>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it-IT"/>
    </a:p>
  </c:txPr>
  <c:printSettings>
    <c:headerFooter alignWithMargins="0"/>
    <c:pageMargins b="1" l="0.75" r="0.75" t="1" header="0.5" footer="0.5"/>
    <c:pageSetup paperSize="9" orientation="landscape" horizontalDpi="300" verticalDpi="30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247787610619468E-3"/>
          <c:y val="0.23157894736842105"/>
          <c:w val="0.9699115044247788"/>
          <c:h val="0.38947368421052631"/>
        </c:manualLayout>
      </c:layout>
      <c:barChart>
        <c:barDir val="col"/>
        <c:grouping val="clustered"/>
        <c:varyColors val="0"/>
        <c:ser>
          <c:idx val="0"/>
          <c:order val="0"/>
          <c:spPr>
            <a:solidFill>
              <a:srgbClr val="FF0000"/>
            </a:solidFill>
            <a:ln w="12700">
              <a:solidFill>
                <a:srgbClr val="000000"/>
              </a:solidFill>
              <a:prstDash val="solid"/>
            </a:ln>
          </c:spPr>
          <c:invertIfNegative val="0"/>
          <c:cat>
            <c:strRef>
              <c:f>SI_1!$E$222:$E$247</c:f>
              <c:strCache>
                <c:ptCount val="26"/>
                <c:pt idx="0">
                  <c:v>SQ 1</c:v>
                </c:pt>
                <c:pt idx="1">
                  <c:v>SQ 2</c:v>
                </c:pt>
                <c:pt idx="2">
                  <c:v>SQ 3</c:v>
                </c:pt>
                <c:pt idx="3">
                  <c:v>SQ 4</c:v>
                </c:pt>
                <c:pt idx="4">
                  <c:v>SQ 5</c:v>
                </c:pt>
                <c:pt idx="5">
                  <c:v>SQ 6</c:v>
                </c:pt>
                <c:pt idx="6">
                  <c:v>SQ 8</c:v>
                </c:pt>
                <c:pt idx="7">
                  <c:v>SQ 9</c:v>
                </c:pt>
                <c:pt idx="8">
                  <c:v>SQ 10</c:v>
                </c:pt>
                <c:pt idx="9">
                  <c:v>IN 1</c:v>
                </c:pt>
                <c:pt idx="10">
                  <c:v>IN 2</c:v>
                </c:pt>
                <c:pt idx="11">
                  <c:v>IN 3</c:v>
                </c:pt>
                <c:pt idx="12">
                  <c:v>IN 4</c:v>
                </c:pt>
                <c:pt idx="13">
                  <c:v>IN 5</c:v>
                </c:pt>
                <c:pt idx="14">
                  <c:v>IN 6</c:v>
                </c:pt>
                <c:pt idx="15">
                  <c:v>IN 7</c:v>
                </c:pt>
                <c:pt idx="16">
                  <c:v>IN 8</c:v>
                </c:pt>
                <c:pt idx="17">
                  <c:v>IN 9</c:v>
                </c:pt>
                <c:pt idx="18">
                  <c:v>IN 10</c:v>
                </c:pt>
                <c:pt idx="19">
                  <c:v>IN 11</c:v>
                </c:pt>
                <c:pt idx="20">
                  <c:v>IN 12</c:v>
                </c:pt>
                <c:pt idx="21">
                  <c:v>IN 13</c:v>
                </c:pt>
                <c:pt idx="22">
                  <c:v>IN 14</c:v>
                </c:pt>
                <c:pt idx="23">
                  <c:v>IN 15</c:v>
                </c:pt>
                <c:pt idx="24">
                  <c:v>IN 16</c:v>
                </c:pt>
                <c:pt idx="25">
                  <c:v>IN 17</c:v>
                </c:pt>
              </c:strCache>
            </c:strRef>
          </c:cat>
          <c:val>
            <c:numRef>
              <c:f>SI_1!$F$222:$F$247</c:f>
              <c:numCache>
                <c:formatCode>General</c:formatCode>
                <c:ptCount val="2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numCache>
            </c:numRef>
          </c:val>
          <c:extLst>
            <c:ext xmlns:c16="http://schemas.microsoft.com/office/drawing/2014/chart" uri="{C3380CC4-5D6E-409C-BE32-E72D297353CC}">
              <c16:uniqueId val="{00000000-00A8-44BE-A5E2-F21545950006}"/>
            </c:ext>
          </c:extLst>
        </c:ser>
        <c:dLbls>
          <c:showLegendKey val="0"/>
          <c:showVal val="0"/>
          <c:showCatName val="0"/>
          <c:showSerName val="0"/>
          <c:showPercent val="0"/>
          <c:showBubbleSize val="0"/>
        </c:dLbls>
        <c:gapWidth val="150"/>
        <c:axId val="1316379376"/>
        <c:axId val="1"/>
      </c:barChart>
      <c:catAx>
        <c:axId val="1316379376"/>
        <c:scaling>
          <c:orientation val="minMax"/>
        </c:scaling>
        <c:delete val="0"/>
        <c:axPos val="b"/>
        <c:numFmt formatCode="General" sourceLinked="1"/>
        <c:majorTickMark val="out"/>
        <c:minorTickMark val="none"/>
        <c:tickLblPos val="nextTo"/>
        <c:spPr>
          <a:ln w="9525">
            <a:noFill/>
          </a:ln>
        </c:spPr>
        <c:txPr>
          <a:bodyPr rot="0" vert="horz"/>
          <a:lstStyle/>
          <a:p>
            <a:pPr>
              <a:defRPr sz="700" b="1" i="0" u="none" strike="noStrike" baseline="0">
                <a:solidFill>
                  <a:srgbClr val="000000"/>
                </a:solidFill>
                <a:latin typeface="Arial"/>
                <a:ea typeface="Arial"/>
                <a:cs typeface="Arial"/>
              </a:defRPr>
            </a:pPr>
            <a:endParaRPr lang="it-IT"/>
          </a:p>
        </c:txPr>
        <c:crossAx val="1"/>
        <c:crosses val="autoZero"/>
        <c:auto val="1"/>
        <c:lblAlgn val="ctr"/>
        <c:lblOffset val="100"/>
        <c:tickLblSkip val="1"/>
        <c:tickMarkSkip val="1"/>
        <c:noMultiLvlLbl val="0"/>
      </c:catAx>
      <c:valAx>
        <c:axId val="1"/>
        <c:scaling>
          <c:orientation val="minMax"/>
        </c:scaling>
        <c:delete val="1"/>
        <c:axPos val="l"/>
        <c:numFmt formatCode="General" sourceLinked="1"/>
        <c:majorTickMark val="out"/>
        <c:minorTickMark val="none"/>
        <c:tickLblPos val="nextTo"/>
        <c:crossAx val="1316379376"/>
        <c:crosses val="autoZero"/>
        <c:crossBetween val="between"/>
      </c:valAx>
      <c:spPr>
        <a:noFill/>
        <a:ln w="25400">
          <a:noFill/>
        </a:ln>
      </c:spPr>
    </c:plotArea>
    <c:plotVisOnly val="1"/>
    <c:dispBlanksAs val="gap"/>
    <c:showDLblsOverMax val="0"/>
  </c:chart>
  <c:spPr>
    <a:solidFill>
      <a:srgbClr val="FFFFFF"/>
    </a:solidFill>
    <a:ln w="3175">
      <a:solidFill>
        <a:srgbClr val="000000"/>
      </a:solidFill>
      <a:prstDash val="solid"/>
    </a:ln>
  </c:spPr>
  <c:txPr>
    <a:bodyPr/>
    <a:lstStyle/>
    <a:p>
      <a:pPr>
        <a:defRPr sz="275" b="0" i="0" u="none" strike="noStrike" baseline="0">
          <a:solidFill>
            <a:srgbClr val="000000"/>
          </a:solidFill>
          <a:latin typeface="Arial"/>
          <a:ea typeface="Arial"/>
          <a:cs typeface="Arial"/>
        </a:defRPr>
      </a:pPr>
      <a:endParaRPr lang="it-IT"/>
    </a:p>
  </c:txPr>
  <c:printSettings>
    <c:headerFooter alignWithMargins="0"/>
    <c:pageMargins b="1" l="0.75" r="0.75" t="1" header="0.5" footer="0.5"/>
    <c:pageSetup paperSize="9" orientation="landscape" horizontalDpi="0" verticalDpi="0"/>
  </c:printSettings>
</c:chartSpace>
</file>

<file path=xl/ctrlProps/ctrlProp1.xml><?xml version="1.0" encoding="utf-8"?>
<formControlPr xmlns="http://schemas.microsoft.com/office/spreadsheetml/2009/9/main" objectType="Drop" dropStyle="combo" dx="26" fmlaLink="$AK$3" fmlaRange="$AK$1:$AK$2" noThreeD="1" sel="2" val="0"/>
</file>

<file path=xl/ctrlProps/ctrlProp2.xml><?xml version="1.0" encoding="utf-8"?>
<formControlPr xmlns="http://schemas.microsoft.com/office/spreadsheetml/2009/9/main" objectType="Drop" dropStyle="combo" dx="26" fmlaLink="$G$22" fmlaRange="$G$20:$G$21" noThreeD="1" sel="2" val="0"/>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216</xdr:row>
      <xdr:rowOff>0</xdr:rowOff>
    </xdr:from>
    <xdr:to>
      <xdr:col>4</xdr:col>
      <xdr:colOff>102235</xdr:colOff>
      <xdr:row>216</xdr:row>
      <xdr:rowOff>190500</xdr:rowOff>
    </xdr:to>
    <xdr:sp macro="" textlink="">
      <xdr:nvSpPr>
        <xdr:cNvPr id="3319266" name="Text Box 7">
          <a:extLst>
            <a:ext uri="{FF2B5EF4-FFF2-40B4-BE49-F238E27FC236}">
              <a16:creationId xmlns:a16="http://schemas.microsoft.com/office/drawing/2014/main" id="{00000000-0008-0000-0000-0000E2A53200}"/>
            </a:ext>
          </a:extLst>
        </xdr:cNvPr>
        <xdr:cNvSpPr txBox="1">
          <a:spLocks noChangeArrowheads="1"/>
        </xdr:cNvSpPr>
      </xdr:nvSpPr>
      <xdr:spPr bwMode="auto">
        <a:xfrm>
          <a:off x="4472940" y="17762220"/>
          <a:ext cx="9906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571500</xdr:colOff>
      <xdr:row>31</xdr:row>
      <xdr:rowOff>0</xdr:rowOff>
    </xdr:from>
    <xdr:to>
      <xdr:col>3</xdr:col>
      <xdr:colOff>571500</xdr:colOff>
      <xdr:row>31</xdr:row>
      <xdr:rowOff>0</xdr:rowOff>
    </xdr:to>
    <xdr:sp macro="" textlink="">
      <xdr:nvSpPr>
        <xdr:cNvPr id="3319267" name="Line 8">
          <a:extLst>
            <a:ext uri="{FF2B5EF4-FFF2-40B4-BE49-F238E27FC236}">
              <a16:creationId xmlns:a16="http://schemas.microsoft.com/office/drawing/2014/main" id="{00000000-0008-0000-0000-0000E3A53200}"/>
            </a:ext>
          </a:extLst>
        </xdr:cNvPr>
        <xdr:cNvSpPr>
          <a:spLocks noChangeShapeType="1"/>
        </xdr:cNvSpPr>
      </xdr:nvSpPr>
      <xdr:spPr bwMode="auto">
        <a:xfrm>
          <a:off x="3954780" y="675894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640080</xdr:colOff>
      <xdr:row>31</xdr:row>
      <xdr:rowOff>0</xdr:rowOff>
    </xdr:from>
    <xdr:to>
      <xdr:col>5</xdr:col>
      <xdr:colOff>640080</xdr:colOff>
      <xdr:row>31</xdr:row>
      <xdr:rowOff>0</xdr:rowOff>
    </xdr:to>
    <xdr:sp macro="" textlink="">
      <xdr:nvSpPr>
        <xdr:cNvPr id="3319268" name="Line 9">
          <a:extLst>
            <a:ext uri="{FF2B5EF4-FFF2-40B4-BE49-F238E27FC236}">
              <a16:creationId xmlns:a16="http://schemas.microsoft.com/office/drawing/2014/main" id="{00000000-0008-0000-0000-0000E4A53200}"/>
            </a:ext>
          </a:extLst>
        </xdr:cNvPr>
        <xdr:cNvSpPr>
          <a:spLocks noChangeShapeType="1"/>
        </xdr:cNvSpPr>
      </xdr:nvSpPr>
      <xdr:spPr bwMode="auto">
        <a:xfrm>
          <a:off x="7284720" y="675894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15240</xdr:colOff>
      <xdr:row>216</xdr:row>
      <xdr:rowOff>0</xdr:rowOff>
    </xdr:from>
    <xdr:to>
      <xdr:col>7</xdr:col>
      <xdr:colOff>0</xdr:colOff>
      <xdr:row>217</xdr:row>
      <xdr:rowOff>114300</xdr:rowOff>
    </xdr:to>
    <xdr:graphicFrame macro="">
      <xdr:nvGraphicFramePr>
        <xdr:cNvPr id="3319269" name="Chart 19">
          <a:extLst>
            <a:ext uri="{FF2B5EF4-FFF2-40B4-BE49-F238E27FC236}">
              <a16:creationId xmlns:a16="http://schemas.microsoft.com/office/drawing/2014/main" id="{00000000-0008-0000-0000-0000E5A53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342900</xdr:colOff>
      <xdr:row>218</xdr:row>
      <xdr:rowOff>15240</xdr:rowOff>
    </xdr:from>
    <xdr:to>
      <xdr:col>10</xdr:col>
      <xdr:colOff>7620</xdr:colOff>
      <xdr:row>220</xdr:row>
      <xdr:rowOff>213360</xdr:rowOff>
    </xdr:to>
    <xdr:graphicFrame macro="">
      <xdr:nvGraphicFramePr>
        <xdr:cNvPr id="3319270" name="Chart 20">
          <a:extLst>
            <a:ext uri="{FF2B5EF4-FFF2-40B4-BE49-F238E27FC236}">
              <a16:creationId xmlns:a16="http://schemas.microsoft.com/office/drawing/2014/main" id="{00000000-0008-0000-0000-0000E6A53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294005</xdr:colOff>
      <xdr:row>0</xdr:row>
      <xdr:rowOff>62230</xdr:rowOff>
    </xdr:from>
    <xdr:to>
      <xdr:col>6</xdr:col>
      <xdr:colOff>1271761</xdr:colOff>
      <xdr:row>0</xdr:row>
      <xdr:rowOff>535655</xdr:rowOff>
    </xdr:to>
    <xdr:sp macro="" textlink="">
      <xdr:nvSpPr>
        <xdr:cNvPr id="63612" name="Testo 1">
          <a:extLst>
            <a:ext uri="{FF2B5EF4-FFF2-40B4-BE49-F238E27FC236}">
              <a16:creationId xmlns:a16="http://schemas.microsoft.com/office/drawing/2014/main" id="{00000000-0008-0000-0000-00007CF80000}"/>
            </a:ext>
          </a:extLst>
        </xdr:cNvPr>
        <xdr:cNvSpPr>
          <a:spLocks noChangeArrowheads="1"/>
        </xdr:cNvSpPr>
      </xdr:nvSpPr>
      <xdr:spPr bwMode="auto">
        <a:xfrm>
          <a:off x="361950" y="53975"/>
          <a:ext cx="9802470" cy="479511"/>
        </a:xfrm>
        <a:prstGeom prst="roundRect">
          <a:avLst>
            <a:gd name="adj" fmla="val 16667"/>
          </a:avLst>
        </a:prstGeom>
        <a:solidFill>
          <a:srgbClr val="C0C0C0"/>
        </a:solidFill>
        <a:ln w="9525">
          <a:solidFill>
            <a:srgbClr val="000000"/>
          </a:solidFill>
          <a:round/>
          <a:headEnd/>
          <a:tailEnd/>
        </a:ln>
        <a:effectLst>
          <a:outerShdw dist="35921" dir="2700000" algn="ctr" rotWithShape="0">
            <a:srgbClr val="000000"/>
          </a:outerShdw>
        </a:effectLst>
      </xdr:spPr>
      <xdr:txBody>
        <a:bodyPr vertOverflow="clip" wrap="square" lIns="45720" tIns="36576" rIns="45720" bIns="36576" anchor="ctr" upright="1"/>
        <a:lstStyle/>
        <a:p>
          <a:pPr algn="ctr" rtl="0">
            <a:defRPr sz="1000"/>
          </a:pPr>
          <a:r>
            <a:rPr lang="it-IT" sz="1800" b="1" i="0" strike="noStrike">
              <a:solidFill>
                <a:srgbClr val="000000"/>
              </a:solidFill>
              <a:latin typeface="Arial"/>
              <a:cs typeface="Arial"/>
            </a:rPr>
            <a:t>Scheda Informativa 1: INFORMAZIONI  DI CARATTERE GENERALE</a:t>
          </a:r>
        </a:p>
      </xdr:txBody>
    </xdr:sp>
    <xdr:clientData fLocksWithSheet="0"/>
  </xdr:twoCellAnchor>
  <xdr:twoCellAnchor>
    <xdr:from>
      <xdr:col>3</xdr:col>
      <xdr:colOff>571500</xdr:colOff>
      <xdr:row>37</xdr:row>
      <xdr:rowOff>0</xdr:rowOff>
    </xdr:from>
    <xdr:to>
      <xdr:col>3</xdr:col>
      <xdr:colOff>571500</xdr:colOff>
      <xdr:row>37</xdr:row>
      <xdr:rowOff>0</xdr:rowOff>
    </xdr:to>
    <xdr:sp macro="" textlink="">
      <xdr:nvSpPr>
        <xdr:cNvPr id="3319272" name="Line 8">
          <a:extLst>
            <a:ext uri="{FF2B5EF4-FFF2-40B4-BE49-F238E27FC236}">
              <a16:creationId xmlns:a16="http://schemas.microsoft.com/office/drawing/2014/main" id="{00000000-0008-0000-0000-0000E8A53200}"/>
            </a:ext>
          </a:extLst>
        </xdr:cNvPr>
        <xdr:cNvSpPr>
          <a:spLocks noChangeShapeType="1"/>
        </xdr:cNvSpPr>
      </xdr:nvSpPr>
      <xdr:spPr bwMode="auto">
        <a:xfrm>
          <a:off x="3954780" y="8031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640080</xdr:colOff>
      <xdr:row>37</xdr:row>
      <xdr:rowOff>0</xdr:rowOff>
    </xdr:from>
    <xdr:to>
      <xdr:col>5</xdr:col>
      <xdr:colOff>640080</xdr:colOff>
      <xdr:row>37</xdr:row>
      <xdr:rowOff>0</xdr:rowOff>
    </xdr:to>
    <xdr:sp macro="" textlink="">
      <xdr:nvSpPr>
        <xdr:cNvPr id="3319273" name="Line 9">
          <a:extLst>
            <a:ext uri="{FF2B5EF4-FFF2-40B4-BE49-F238E27FC236}">
              <a16:creationId xmlns:a16="http://schemas.microsoft.com/office/drawing/2014/main" id="{00000000-0008-0000-0000-0000E9A53200}"/>
            </a:ext>
          </a:extLst>
        </xdr:cNvPr>
        <xdr:cNvSpPr>
          <a:spLocks noChangeShapeType="1"/>
        </xdr:cNvSpPr>
      </xdr:nvSpPr>
      <xdr:spPr bwMode="auto">
        <a:xfrm>
          <a:off x="7284720" y="8031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571500</xdr:colOff>
      <xdr:row>31</xdr:row>
      <xdr:rowOff>0</xdr:rowOff>
    </xdr:from>
    <xdr:to>
      <xdr:col>3</xdr:col>
      <xdr:colOff>571500</xdr:colOff>
      <xdr:row>31</xdr:row>
      <xdr:rowOff>0</xdr:rowOff>
    </xdr:to>
    <xdr:sp macro="" textlink="">
      <xdr:nvSpPr>
        <xdr:cNvPr id="3319274" name="Line 8">
          <a:extLst>
            <a:ext uri="{FF2B5EF4-FFF2-40B4-BE49-F238E27FC236}">
              <a16:creationId xmlns:a16="http://schemas.microsoft.com/office/drawing/2014/main" id="{00000000-0008-0000-0000-0000EAA53200}"/>
            </a:ext>
          </a:extLst>
        </xdr:cNvPr>
        <xdr:cNvSpPr>
          <a:spLocks noChangeShapeType="1"/>
        </xdr:cNvSpPr>
      </xdr:nvSpPr>
      <xdr:spPr bwMode="auto">
        <a:xfrm>
          <a:off x="3954780" y="675894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640080</xdr:colOff>
      <xdr:row>31</xdr:row>
      <xdr:rowOff>0</xdr:rowOff>
    </xdr:from>
    <xdr:to>
      <xdr:col>5</xdr:col>
      <xdr:colOff>640080</xdr:colOff>
      <xdr:row>31</xdr:row>
      <xdr:rowOff>0</xdr:rowOff>
    </xdr:to>
    <xdr:sp macro="" textlink="">
      <xdr:nvSpPr>
        <xdr:cNvPr id="3319275" name="Line 9">
          <a:extLst>
            <a:ext uri="{FF2B5EF4-FFF2-40B4-BE49-F238E27FC236}">
              <a16:creationId xmlns:a16="http://schemas.microsoft.com/office/drawing/2014/main" id="{00000000-0008-0000-0000-0000EBA53200}"/>
            </a:ext>
          </a:extLst>
        </xdr:cNvPr>
        <xdr:cNvSpPr>
          <a:spLocks noChangeShapeType="1"/>
        </xdr:cNvSpPr>
      </xdr:nvSpPr>
      <xdr:spPr bwMode="auto">
        <a:xfrm>
          <a:off x="7284720" y="675894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xdr:row>
      <xdr:rowOff>38100</xdr:rowOff>
    </xdr:from>
    <xdr:to>
      <xdr:col>4</xdr:col>
      <xdr:colOff>0</xdr:colOff>
      <xdr:row>1</xdr:row>
      <xdr:rowOff>295275</xdr:rowOff>
    </xdr:to>
    <xdr:sp macro="" textlink="">
      <xdr:nvSpPr>
        <xdr:cNvPr id="2" name="Testo 9">
          <a:extLst>
            <a:ext uri="{FF2B5EF4-FFF2-40B4-BE49-F238E27FC236}">
              <a16:creationId xmlns:a16="http://schemas.microsoft.com/office/drawing/2014/main" id="{00000000-0008-0000-0100-000002000000}"/>
            </a:ext>
          </a:extLst>
        </xdr:cNvPr>
        <xdr:cNvSpPr txBox="1">
          <a:spLocks noChangeArrowheads="1"/>
        </xdr:cNvSpPr>
      </xdr:nvSpPr>
      <xdr:spPr bwMode="auto">
        <a:xfrm>
          <a:off x="0" y="434340"/>
          <a:ext cx="9936480" cy="257175"/>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t" upright="1"/>
        <a:lstStyle/>
        <a:p>
          <a:pPr algn="l" rtl="0">
            <a:defRPr sz="1000"/>
          </a:pPr>
          <a:r>
            <a:rPr lang="it-IT" sz="1200" b="1" i="0" strike="noStrike">
              <a:solidFill>
                <a:srgbClr val="000000"/>
              </a:solidFill>
              <a:latin typeface="Arial"/>
              <a:cs typeface="Arial"/>
            </a:rPr>
            <a:t>Tabella TFAM </a:t>
          </a:r>
          <a:r>
            <a:rPr lang="it-IT" sz="800" b="0" i="0" strike="noStrike">
              <a:solidFill>
                <a:srgbClr val="000000"/>
              </a:solidFill>
              <a:latin typeface="Arial"/>
              <a:cs typeface="Arial"/>
            </a:rPr>
            <a:t> -  </a:t>
          </a:r>
          <a:r>
            <a:rPr lang="it-IT" sz="1000" b="0" i="0" strike="noStrike">
              <a:solidFill>
                <a:srgbClr val="000000"/>
              </a:solidFill>
              <a:latin typeface="Arial"/>
              <a:cs typeface="Arial"/>
            </a:rPr>
            <a:t>Famiglie professionali </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7620</xdr:colOff>
      <xdr:row>1</xdr:row>
      <xdr:rowOff>6985</xdr:rowOff>
    </xdr:from>
    <xdr:to>
      <xdr:col>30</xdr:col>
      <xdr:colOff>430055</xdr:colOff>
      <xdr:row>1</xdr:row>
      <xdr:rowOff>269895</xdr:rowOff>
    </xdr:to>
    <xdr:sp macro="" textlink="">
      <xdr:nvSpPr>
        <xdr:cNvPr id="2057" name="Testo 9">
          <a:extLst>
            <a:ext uri="{FF2B5EF4-FFF2-40B4-BE49-F238E27FC236}">
              <a16:creationId xmlns:a16="http://schemas.microsoft.com/office/drawing/2014/main" id="{00000000-0008-0000-0200-000009080000}"/>
            </a:ext>
          </a:extLst>
        </xdr:cNvPr>
        <xdr:cNvSpPr txBox="1">
          <a:spLocks noChangeArrowheads="1"/>
        </xdr:cNvSpPr>
      </xdr:nvSpPr>
      <xdr:spPr bwMode="auto">
        <a:xfrm>
          <a:off x="9525" y="340995"/>
          <a:ext cx="6360796" cy="247650"/>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t" upright="1"/>
        <a:lstStyle/>
        <a:p>
          <a:pPr algn="l" rtl="0">
            <a:defRPr sz="1000"/>
          </a:pPr>
          <a:r>
            <a:rPr lang="it-IT" sz="1200" b="1" i="0" strike="noStrike">
              <a:solidFill>
                <a:srgbClr val="000000"/>
              </a:solidFill>
              <a:latin typeface="Arial"/>
              <a:cs typeface="Arial"/>
            </a:rPr>
            <a:t>Tabella 1 </a:t>
          </a:r>
          <a:r>
            <a:rPr lang="it-IT" sz="1200" b="0" i="0" strike="noStrike">
              <a:solidFill>
                <a:srgbClr val="000000"/>
              </a:solidFill>
              <a:latin typeface="Arial"/>
              <a:cs typeface="Arial"/>
            </a:rPr>
            <a:t>- </a:t>
          </a:r>
          <a:r>
            <a:rPr lang="it-IT" sz="1000" b="0" i="0" strike="noStrike">
              <a:solidFill>
                <a:srgbClr val="000000"/>
              </a:solidFill>
              <a:latin typeface="Arial"/>
              <a:cs typeface="Arial"/>
            </a:rPr>
            <a:t>Personale dipendente a tempo indeterminato e personale dirigente in servizio al 31 dicembre</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9524</xdr:colOff>
      <xdr:row>1</xdr:row>
      <xdr:rowOff>38100</xdr:rowOff>
    </xdr:from>
    <xdr:to>
      <xdr:col>47</xdr:col>
      <xdr:colOff>0</xdr:colOff>
      <xdr:row>1</xdr:row>
      <xdr:rowOff>295275</xdr:rowOff>
    </xdr:to>
    <xdr:sp macro="" textlink="">
      <xdr:nvSpPr>
        <xdr:cNvPr id="2" name="Testo 13">
          <a:extLst>
            <a:ext uri="{FF2B5EF4-FFF2-40B4-BE49-F238E27FC236}">
              <a16:creationId xmlns:a16="http://schemas.microsoft.com/office/drawing/2014/main" id="{00000000-0008-0000-0300-000002000000}"/>
            </a:ext>
          </a:extLst>
        </xdr:cNvPr>
        <xdr:cNvSpPr txBox="1">
          <a:spLocks noChangeArrowheads="1"/>
        </xdr:cNvSpPr>
      </xdr:nvSpPr>
      <xdr:spPr bwMode="auto">
        <a:xfrm>
          <a:off x="9524" y="586740"/>
          <a:ext cx="11824336" cy="257175"/>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t" upright="1"/>
        <a:lstStyle/>
        <a:p>
          <a:pPr algn="l" rtl="0">
            <a:defRPr sz="1000"/>
          </a:pPr>
          <a:r>
            <a:rPr lang="it-IT" sz="1200" b="1" i="0" strike="noStrike">
              <a:solidFill>
                <a:srgbClr val="000000"/>
              </a:solidFill>
              <a:latin typeface="Arial"/>
              <a:cs typeface="Arial"/>
            </a:rPr>
            <a:t>Tabella 1E</a:t>
          </a:r>
          <a:r>
            <a:rPr lang="it-IT" sz="800" b="1" i="0" strike="noStrike">
              <a:solidFill>
                <a:srgbClr val="000000"/>
              </a:solidFill>
              <a:latin typeface="Arial"/>
              <a:cs typeface="Arial"/>
            </a:rPr>
            <a:t> </a:t>
          </a:r>
          <a:r>
            <a:rPr lang="it-IT" sz="800" b="0" i="0" strike="noStrike">
              <a:solidFill>
                <a:srgbClr val="000000"/>
              </a:solidFill>
              <a:latin typeface="Arial"/>
              <a:cs typeface="Arial"/>
            </a:rPr>
            <a:t>- </a:t>
          </a:r>
          <a:r>
            <a:rPr lang="it-IT" sz="1000">
              <a:effectLst/>
              <a:latin typeface="+mn-lt"/>
              <a:ea typeface="+mn-ea"/>
              <a:cs typeface="+mn-cs"/>
            </a:rPr>
            <a:t>Distribuzione del personale al 31 dicembre secondo il numero dei differenziali stipendiali / differenziali economici di professionalità / posizioni stipendiali / fasce retributive</a:t>
          </a:r>
          <a:endParaRPr lang="it-IT" sz="1000" b="0" i="0" strike="noStrike">
            <a:solidFill>
              <a:srgbClr val="000000"/>
            </a:solidFill>
            <a:latin typeface="Arial"/>
            <a:cs typeface="Aria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xdr:row>
      <xdr:rowOff>31750</xdr:rowOff>
    </xdr:from>
    <xdr:to>
      <xdr:col>34</xdr:col>
      <xdr:colOff>2545</xdr:colOff>
      <xdr:row>1</xdr:row>
      <xdr:rowOff>291412</xdr:rowOff>
    </xdr:to>
    <xdr:sp macro="" textlink="">
      <xdr:nvSpPr>
        <xdr:cNvPr id="2" name="Testo 9">
          <a:extLst>
            <a:ext uri="{FF2B5EF4-FFF2-40B4-BE49-F238E27FC236}">
              <a16:creationId xmlns:a16="http://schemas.microsoft.com/office/drawing/2014/main" id="{00000000-0008-0000-0400-000002000000}"/>
            </a:ext>
          </a:extLst>
        </xdr:cNvPr>
        <xdr:cNvSpPr txBox="1">
          <a:spLocks noChangeArrowheads="1"/>
        </xdr:cNvSpPr>
      </xdr:nvSpPr>
      <xdr:spPr bwMode="auto">
        <a:xfrm>
          <a:off x="0" y="580390"/>
          <a:ext cx="16842745" cy="259662"/>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t" upright="1"/>
        <a:lstStyle/>
        <a:p>
          <a:pPr algn="l" rtl="0">
            <a:defRPr sz="1000"/>
          </a:pPr>
          <a:r>
            <a:rPr lang="it-IT" sz="1200" b="1" i="0" strike="noStrike">
              <a:solidFill>
                <a:srgbClr val="000000"/>
              </a:solidFill>
              <a:latin typeface="Arial"/>
              <a:cs typeface="Arial"/>
            </a:rPr>
            <a:t>Tabella 2 </a:t>
          </a:r>
          <a:r>
            <a:rPr lang="it-IT" sz="800" b="0" i="0" strike="noStrike">
              <a:solidFill>
                <a:srgbClr val="000000"/>
              </a:solidFill>
              <a:latin typeface="Arial"/>
              <a:cs typeface="Arial"/>
            </a:rPr>
            <a:t> -  </a:t>
          </a:r>
          <a:r>
            <a:rPr lang="it-IT" sz="1000" b="0" i="0" strike="noStrike">
              <a:solidFill>
                <a:srgbClr val="000000"/>
              </a:solidFill>
              <a:latin typeface="Arial"/>
              <a:cs typeface="Arial"/>
            </a:rPr>
            <a:t>Personale con contratto di lavoro flessibile </a:t>
          </a:r>
        </a:p>
      </xdr:txBody>
    </xdr:sp>
    <xdr:clientData/>
  </xdr:twoCellAnchor>
  <xdr:twoCellAnchor>
    <xdr:from>
      <xdr:col>0</xdr:col>
      <xdr:colOff>0</xdr:colOff>
      <xdr:row>18</xdr:row>
      <xdr:rowOff>31750</xdr:rowOff>
    </xdr:from>
    <xdr:to>
      <xdr:col>35</xdr:col>
      <xdr:colOff>569375</xdr:colOff>
      <xdr:row>18</xdr:row>
      <xdr:rowOff>291412</xdr:rowOff>
    </xdr:to>
    <xdr:sp macro="" textlink="">
      <xdr:nvSpPr>
        <xdr:cNvPr id="3" name="Testo 9">
          <a:extLst>
            <a:ext uri="{FF2B5EF4-FFF2-40B4-BE49-F238E27FC236}">
              <a16:creationId xmlns:a16="http://schemas.microsoft.com/office/drawing/2014/main" id="{00000000-0008-0000-0400-000003000000}"/>
            </a:ext>
          </a:extLst>
        </xdr:cNvPr>
        <xdr:cNvSpPr txBox="1">
          <a:spLocks noChangeArrowheads="1"/>
        </xdr:cNvSpPr>
      </xdr:nvSpPr>
      <xdr:spPr bwMode="auto">
        <a:xfrm>
          <a:off x="0" y="4481830"/>
          <a:ext cx="17828679" cy="259662"/>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t" upright="1"/>
        <a:lstStyle/>
        <a:p>
          <a:pPr algn="l" rtl="0">
            <a:defRPr sz="1000"/>
          </a:pPr>
          <a:r>
            <a:rPr lang="it-IT" sz="1200" b="1" i="0" strike="noStrike">
              <a:solidFill>
                <a:srgbClr val="000000"/>
              </a:solidFill>
              <a:latin typeface="Arial"/>
              <a:cs typeface="Arial"/>
            </a:rPr>
            <a:t>Tabella 2 </a:t>
          </a:r>
          <a:r>
            <a:rPr lang="it-IT" sz="800" b="0" i="0" strike="noStrike">
              <a:solidFill>
                <a:srgbClr val="000000"/>
              </a:solidFill>
              <a:latin typeface="Arial"/>
              <a:cs typeface="Arial"/>
            </a:rPr>
            <a:t> -  </a:t>
          </a:r>
          <a:r>
            <a:rPr lang="it-IT" sz="1000" b="0" i="0" strike="noStrike">
              <a:solidFill>
                <a:srgbClr val="000000"/>
              </a:solidFill>
              <a:latin typeface="Arial"/>
              <a:cs typeface="Arial"/>
            </a:rPr>
            <a:t>Personale con modalità di lavoro flessibile </a:t>
          </a:r>
        </a:p>
      </xdr:txBody>
    </xdr:sp>
    <xdr:clientData/>
  </xdr:twoCellAnchor>
  <mc:AlternateContent xmlns:mc="http://schemas.openxmlformats.org/markup-compatibility/2006">
    <mc:Choice xmlns:a14="http://schemas.microsoft.com/office/drawing/2010/main" Requires="a14">
      <xdr:twoCellAnchor editAs="oneCell">
        <xdr:from>
          <xdr:col>29</xdr:col>
          <xdr:colOff>180975</xdr:colOff>
          <xdr:row>14</xdr:row>
          <xdr:rowOff>142875</xdr:rowOff>
        </xdr:from>
        <xdr:to>
          <xdr:col>30</xdr:col>
          <xdr:colOff>247650</xdr:colOff>
          <xdr:row>15</xdr:row>
          <xdr:rowOff>171450</xdr:rowOff>
        </xdr:to>
        <xdr:sp macro="" textlink="">
          <xdr:nvSpPr>
            <xdr:cNvPr id="3390465" name="Drop Down 1" descr="No" hidden="1">
              <a:extLst>
                <a:ext uri="{63B3BB69-23CF-44E3-9099-C40C66FF867C}">
                  <a14:compatExt spid="_x0000_s3390465"/>
                </a:ext>
                <a:ext uri="{FF2B5EF4-FFF2-40B4-BE49-F238E27FC236}">
                  <a16:creationId xmlns:a16="http://schemas.microsoft.com/office/drawing/2014/main" id="{00000000-0008-0000-0400-000001BC3300}"/>
                </a:ext>
              </a:extLst>
            </xdr:cNvPr>
            <xdr:cNvSpPr/>
          </xdr:nvSpPr>
          <xdr:spPr bwMode="auto">
            <a:xfrm>
              <a:off x="0" y="0"/>
              <a:ext cx="0" cy="0"/>
            </a:xfrm>
            <a:prstGeom prst="rect">
              <a:avLst/>
            </a:prstGeom>
            <a:noFill/>
            <a:ln>
              <a:noFill/>
            </a:ln>
            <a:effectLst/>
            <a:extLst>
              <a:ext uri="{91240B29-F687-4F45-9708-019B960494DF}">
                <a14:hiddenLine w="9525">
                  <a:noFill/>
                  <a:miter lim="800000"/>
                  <a:headEnd/>
                  <a:tailEnd/>
                </a14:hiddenLine>
              </a:ext>
              <a:ext uri="{53640926-AAD7-44D8-BBD7-CCE9431645EC}">
                <a14:shadowObscured val="1"/>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xdr:twoCellAnchor>
    <xdr:from>
      <xdr:col>1</xdr:col>
      <xdr:colOff>7620</xdr:colOff>
      <xdr:row>2</xdr:row>
      <xdr:rowOff>168275</xdr:rowOff>
    </xdr:from>
    <xdr:to>
      <xdr:col>11</xdr:col>
      <xdr:colOff>0</xdr:colOff>
      <xdr:row>3</xdr:row>
      <xdr:rowOff>125505</xdr:rowOff>
    </xdr:to>
    <xdr:sp macro="" textlink="">
      <xdr:nvSpPr>
        <xdr:cNvPr id="74753" name="Testo 9">
          <a:extLst>
            <a:ext uri="{FF2B5EF4-FFF2-40B4-BE49-F238E27FC236}">
              <a16:creationId xmlns:a16="http://schemas.microsoft.com/office/drawing/2014/main" id="{00000000-0008-0000-0500-000001240100}"/>
            </a:ext>
          </a:extLst>
        </xdr:cNvPr>
        <xdr:cNvSpPr txBox="1">
          <a:spLocks noChangeArrowheads="1"/>
        </xdr:cNvSpPr>
      </xdr:nvSpPr>
      <xdr:spPr bwMode="auto">
        <a:xfrm>
          <a:off x="361950" y="590550"/>
          <a:ext cx="5848350" cy="257175"/>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t" upright="1"/>
        <a:lstStyle/>
        <a:p>
          <a:pPr algn="l" rtl="0">
            <a:defRPr sz="1000"/>
          </a:pPr>
          <a:r>
            <a:rPr lang="it-IT" sz="1200" b="1" i="0" strike="noStrike">
              <a:solidFill>
                <a:srgbClr val="000000"/>
              </a:solidFill>
              <a:latin typeface="Arial"/>
              <a:cs typeface="Arial"/>
            </a:rPr>
            <a:t>Tabella 2A</a:t>
          </a:r>
          <a:r>
            <a:rPr lang="it-IT" sz="800" b="0" i="0" strike="noStrike">
              <a:solidFill>
                <a:srgbClr val="000000"/>
              </a:solidFill>
              <a:latin typeface="Arial"/>
              <a:cs typeface="Arial"/>
            </a:rPr>
            <a:t> - </a:t>
          </a:r>
          <a:r>
            <a:rPr lang="it-IT" sz="1000" b="0" i="0" strike="noStrike">
              <a:solidFill>
                <a:srgbClr val="000000"/>
              </a:solidFill>
              <a:latin typeface="Arial"/>
              <a:cs typeface="Arial"/>
            </a:rPr>
            <a:t>Distribuzione del personale a tempo determinato e collaborazioni professionali per anzianità di rapporto </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7620</xdr:colOff>
      <xdr:row>1</xdr:row>
      <xdr:rowOff>23495</xdr:rowOff>
    </xdr:from>
    <xdr:to>
      <xdr:col>6</xdr:col>
      <xdr:colOff>12708</xdr:colOff>
      <xdr:row>1</xdr:row>
      <xdr:rowOff>286944</xdr:rowOff>
    </xdr:to>
    <xdr:sp macro="" textlink="">
      <xdr:nvSpPr>
        <xdr:cNvPr id="37889" name="Testo 13">
          <a:extLst>
            <a:ext uri="{FF2B5EF4-FFF2-40B4-BE49-F238E27FC236}">
              <a16:creationId xmlns:a16="http://schemas.microsoft.com/office/drawing/2014/main" id="{00000000-0008-0000-0600-000001940000}"/>
            </a:ext>
          </a:extLst>
        </xdr:cNvPr>
        <xdr:cNvSpPr txBox="1">
          <a:spLocks noChangeArrowheads="1"/>
        </xdr:cNvSpPr>
      </xdr:nvSpPr>
      <xdr:spPr bwMode="auto">
        <a:xfrm>
          <a:off x="9525" y="590550"/>
          <a:ext cx="5581650" cy="257175"/>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t" upright="1"/>
        <a:lstStyle/>
        <a:p>
          <a:pPr algn="l" rtl="0">
            <a:defRPr sz="1000"/>
          </a:pPr>
          <a:r>
            <a:rPr lang="it-IT" sz="1200" b="1" i="0" strike="noStrike">
              <a:solidFill>
                <a:srgbClr val="000000"/>
              </a:solidFill>
              <a:latin typeface="Arial"/>
              <a:cs typeface="Arial"/>
            </a:rPr>
            <a:t>Tabella 3</a:t>
          </a:r>
          <a:r>
            <a:rPr lang="it-IT" sz="800" b="1" i="0" strike="noStrike">
              <a:solidFill>
                <a:srgbClr val="000000"/>
              </a:solidFill>
              <a:latin typeface="Arial"/>
              <a:cs typeface="Arial"/>
            </a:rPr>
            <a:t> </a:t>
          </a:r>
          <a:r>
            <a:rPr lang="it-IT" sz="800" b="0" i="0" strike="noStrike">
              <a:solidFill>
                <a:srgbClr val="000000"/>
              </a:solidFill>
              <a:latin typeface="Arial"/>
              <a:cs typeface="Arial"/>
            </a:rPr>
            <a:t>- </a:t>
          </a:r>
          <a:r>
            <a:rPr lang="it-IT" sz="1000" b="0" i="0" strike="noStrike">
              <a:solidFill>
                <a:srgbClr val="000000"/>
              </a:solidFill>
              <a:latin typeface="Arial"/>
              <a:cs typeface="Arial"/>
            </a:rPr>
            <a:t>Personale in posizione di comando/distacco e fuori ruolo al 31 dicembre</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9525</xdr:colOff>
      <xdr:row>1</xdr:row>
      <xdr:rowOff>38100</xdr:rowOff>
    </xdr:from>
    <xdr:to>
      <xdr:col>18</xdr:col>
      <xdr:colOff>617220</xdr:colOff>
      <xdr:row>1</xdr:row>
      <xdr:rowOff>464820</xdr:rowOff>
    </xdr:to>
    <xdr:sp macro="" textlink="">
      <xdr:nvSpPr>
        <xdr:cNvPr id="2" name="Testo 9">
          <a:extLst>
            <a:ext uri="{FF2B5EF4-FFF2-40B4-BE49-F238E27FC236}">
              <a16:creationId xmlns:a16="http://schemas.microsoft.com/office/drawing/2014/main" id="{00000000-0008-0000-0700-000002000000}"/>
            </a:ext>
          </a:extLst>
        </xdr:cNvPr>
        <xdr:cNvSpPr txBox="1">
          <a:spLocks noChangeArrowheads="1"/>
        </xdr:cNvSpPr>
      </xdr:nvSpPr>
      <xdr:spPr bwMode="auto">
        <a:xfrm>
          <a:off x="9525" y="167640"/>
          <a:ext cx="7419975" cy="91440"/>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t" upright="1"/>
        <a:lstStyle/>
        <a:p>
          <a:pPr algn="l" rtl="0">
            <a:defRPr sz="1000"/>
          </a:pPr>
          <a:r>
            <a:rPr lang="it-IT" sz="1200" b="1" i="0" strike="noStrike">
              <a:solidFill>
                <a:srgbClr val="000000"/>
              </a:solidFill>
              <a:latin typeface="Arial"/>
              <a:cs typeface="Arial"/>
            </a:rPr>
            <a:t>Tabella 4 </a:t>
          </a:r>
          <a:r>
            <a:rPr lang="it-IT" sz="1000" b="1" i="0" strike="noStrike">
              <a:solidFill>
                <a:srgbClr val="000000"/>
              </a:solidFill>
              <a:latin typeface="Arial"/>
              <a:cs typeface="Arial"/>
            </a:rPr>
            <a:t>- </a:t>
          </a:r>
          <a:r>
            <a:rPr lang="it-IT" sz="1000" b="0" i="0" strike="noStrike">
              <a:solidFill>
                <a:srgbClr val="000000"/>
              </a:solidFill>
              <a:latin typeface="Arial"/>
              <a:cs typeface="Arial"/>
            </a:rPr>
            <a:t>Passaggi di qualifica / posizione economica / differenziale stipendiale / differenziale economico di professionalità / profilo del personale a tempo indeterminato e dirigente nel corso dell'anno</a:t>
          </a:r>
        </a:p>
        <a:p>
          <a:pPr algn="l" rtl="0">
            <a:defRPr sz="1000"/>
          </a:pPr>
          <a:endParaRPr lang="it-IT" sz="1000" b="0" i="0" strike="noStrike">
            <a:solidFill>
              <a:srgbClr val="000000"/>
            </a:solidFill>
            <a:latin typeface="Arial"/>
            <a:cs typeface="Arial"/>
          </a:endParaRPr>
        </a:p>
        <a:p>
          <a:pPr algn="l" rtl="0">
            <a:defRPr sz="1000"/>
          </a:pPr>
          <a:endParaRPr lang="it-IT" sz="1000" b="0" i="0" strike="noStrike">
            <a:solidFill>
              <a:srgbClr val="000000"/>
            </a:solidFill>
            <a:latin typeface="Arial"/>
            <a:cs typeface="Arial"/>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1</xdr:row>
      <xdr:rowOff>19685</xdr:rowOff>
    </xdr:from>
    <xdr:to>
      <xdr:col>7</xdr:col>
      <xdr:colOff>570362</xdr:colOff>
      <xdr:row>1</xdr:row>
      <xdr:rowOff>295810</xdr:rowOff>
    </xdr:to>
    <xdr:sp macro="" textlink="">
      <xdr:nvSpPr>
        <xdr:cNvPr id="25601" name="Testo 13">
          <a:extLst>
            <a:ext uri="{FF2B5EF4-FFF2-40B4-BE49-F238E27FC236}">
              <a16:creationId xmlns:a16="http://schemas.microsoft.com/office/drawing/2014/main" id="{00000000-0008-0000-0800-000001640000}"/>
            </a:ext>
          </a:extLst>
        </xdr:cNvPr>
        <xdr:cNvSpPr txBox="1">
          <a:spLocks noChangeArrowheads="1"/>
        </xdr:cNvSpPr>
      </xdr:nvSpPr>
      <xdr:spPr bwMode="auto">
        <a:xfrm>
          <a:off x="0" y="581025"/>
          <a:ext cx="6705600" cy="257175"/>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t" upright="1"/>
        <a:lstStyle/>
        <a:p>
          <a:pPr algn="l" rtl="0">
            <a:defRPr sz="1000"/>
          </a:pPr>
          <a:r>
            <a:rPr lang="it-IT" sz="1200" b="1" i="0" strike="noStrike">
              <a:solidFill>
                <a:srgbClr val="000000"/>
              </a:solidFill>
              <a:latin typeface="Arial"/>
              <a:cs typeface="Arial"/>
            </a:rPr>
            <a:t>Tabella 5</a:t>
          </a:r>
          <a:r>
            <a:rPr lang="it-IT" sz="800" b="1" i="0" strike="noStrike">
              <a:solidFill>
                <a:srgbClr val="000000"/>
              </a:solidFill>
              <a:latin typeface="Arial"/>
              <a:cs typeface="Arial"/>
            </a:rPr>
            <a:t> </a:t>
          </a:r>
          <a:r>
            <a:rPr lang="it-IT" sz="800" b="0" i="0" strike="noStrike">
              <a:solidFill>
                <a:srgbClr val="000000"/>
              </a:solidFill>
              <a:latin typeface="Arial"/>
              <a:cs typeface="Arial"/>
            </a:rPr>
            <a:t>- </a:t>
          </a:r>
          <a:r>
            <a:rPr lang="it-IT" sz="900" b="0" i="0" strike="noStrike">
              <a:solidFill>
                <a:srgbClr val="000000"/>
              </a:solidFill>
              <a:latin typeface="Arial"/>
              <a:cs typeface="Arial"/>
            </a:rPr>
            <a:t>Personale a tempo indeterminato  e personale dirigente cessato dal servizio nel corso dell'anno</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1</xdr:row>
      <xdr:rowOff>19685</xdr:rowOff>
    </xdr:from>
    <xdr:to>
      <xdr:col>6</xdr:col>
      <xdr:colOff>0</xdr:colOff>
      <xdr:row>1</xdr:row>
      <xdr:rowOff>295810</xdr:rowOff>
    </xdr:to>
    <xdr:sp macro="" textlink="">
      <xdr:nvSpPr>
        <xdr:cNvPr id="24577" name="Testo 13">
          <a:extLst>
            <a:ext uri="{FF2B5EF4-FFF2-40B4-BE49-F238E27FC236}">
              <a16:creationId xmlns:a16="http://schemas.microsoft.com/office/drawing/2014/main" id="{00000000-0008-0000-0900-000001600000}"/>
            </a:ext>
          </a:extLst>
        </xdr:cNvPr>
        <xdr:cNvSpPr txBox="1">
          <a:spLocks noChangeArrowheads="1"/>
        </xdr:cNvSpPr>
      </xdr:nvSpPr>
      <xdr:spPr bwMode="auto">
        <a:xfrm>
          <a:off x="0" y="581025"/>
          <a:ext cx="6429375" cy="257175"/>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t" upright="1"/>
        <a:lstStyle/>
        <a:p>
          <a:pPr algn="l" rtl="0">
            <a:defRPr sz="1000"/>
          </a:pPr>
          <a:r>
            <a:rPr lang="it-IT" sz="1200" b="1" i="0" strike="noStrike">
              <a:solidFill>
                <a:srgbClr val="000000"/>
              </a:solidFill>
              <a:latin typeface="Arial"/>
              <a:cs typeface="Arial"/>
            </a:rPr>
            <a:t>Tabella 6 </a:t>
          </a:r>
          <a:r>
            <a:rPr lang="it-IT" sz="800" b="0" i="0" strike="noStrike">
              <a:solidFill>
                <a:srgbClr val="000000"/>
              </a:solidFill>
              <a:latin typeface="Arial"/>
              <a:cs typeface="Arial"/>
            </a:rPr>
            <a:t>-</a:t>
          </a:r>
          <a:r>
            <a:rPr lang="it-IT" sz="900" b="0" i="0" strike="noStrike">
              <a:solidFill>
                <a:srgbClr val="000000"/>
              </a:solidFill>
              <a:latin typeface="Arial"/>
              <a:cs typeface="Arial"/>
            </a:rPr>
            <a:t> Personale a tempo indeterminato e personale dirigente assunto in servizio nel corso dell'anno</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1</xdr:row>
      <xdr:rowOff>48260</xdr:rowOff>
    </xdr:from>
    <xdr:to>
      <xdr:col>11</xdr:col>
      <xdr:colOff>216707</xdr:colOff>
      <xdr:row>1</xdr:row>
      <xdr:rowOff>287216</xdr:rowOff>
    </xdr:to>
    <xdr:sp macro="" textlink="">
      <xdr:nvSpPr>
        <xdr:cNvPr id="23553" name="Testo 13">
          <a:extLst>
            <a:ext uri="{FF2B5EF4-FFF2-40B4-BE49-F238E27FC236}">
              <a16:creationId xmlns:a16="http://schemas.microsoft.com/office/drawing/2014/main" id="{00000000-0008-0000-0A00-0000015C0000}"/>
            </a:ext>
          </a:extLst>
        </xdr:cNvPr>
        <xdr:cNvSpPr txBox="1">
          <a:spLocks noChangeArrowheads="1"/>
        </xdr:cNvSpPr>
      </xdr:nvSpPr>
      <xdr:spPr bwMode="auto">
        <a:xfrm>
          <a:off x="0" y="600075"/>
          <a:ext cx="7286625" cy="247650"/>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t" upright="1"/>
        <a:lstStyle/>
        <a:p>
          <a:pPr algn="l" rtl="0">
            <a:defRPr sz="1000"/>
          </a:pPr>
          <a:r>
            <a:rPr lang="it-IT" sz="1200" b="1" i="0" strike="noStrike">
              <a:solidFill>
                <a:srgbClr val="000000"/>
              </a:solidFill>
              <a:latin typeface="Arial"/>
              <a:cs typeface="Arial"/>
            </a:rPr>
            <a:t>Tabella 7</a:t>
          </a:r>
          <a:r>
            <a:rPr lang="it-IT" sz="800" b="1" i="0" strike="noStrike">
              <a:solidFill>
                <a:srgbClr val="000000"/>
              </a:solidFill>
              <a:latin typeface="Arial"/>
              <a:cs typeface="Arial"/>
            </a:rPr>
            <a:t> </a:t>
          </a:r>
          <a:r>
            <a:rPr lang="it-IT" sz="800" b="0" i="0" strike="noStrike">
              <a:solidFill>
                <a:srgbClr val="000000"/>
              </a:solidFill>
              <a:latin typeface="Arial"/>
              <a:cs typeface="Arial"/>
            </a:rPr>
            <a:t>- </a:t>
          </a:r>
          <a:r>
            <a:rPr lang="it-IT" sz="900" b="0" i="0" strike="noStrike">
              <a:solidFill>
                <a:srgbClr val="000000"/>
              </a:solidFill>
              <a:latin typeface="Arial"/>
              <a:cs typeface="Arial"/>
            </a:rPr>
            <a:t>Personale a tempo indeterminato e personale dirigente distribuito per classi di anzianità di servizio al 31 dicembre </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1</xdr:row>
      <xdr:rowOff>27940</xdr:rowOff>
    </xdr:from>
    <xdr:to>
      <xdr:col>12</xdr:col>
      <xdr:colOff>1919</xdr:colOff>
      <xdr:row>1</xdr:row>
      <xdr:rowOff>255595</xdr:rowOff>
    </xdr:to>
    <xdr:sp macro="" textlink="">
      <xdr:nvSpPr>
        <xdr:cNvPr id="22529" name="Testo 13">
          <a:extLst>
            <a:ext uri="{FF2B5EF4-FFF2-40B4-BE49-F238E27FC236}">
              <a16:creationId xmlns:a16="http://schemas.microsoft.com/office/drawing/2014/main" id="{00000000-0008-0000-0B00-000001580000}"/>
            </a:ext>
          </a:extLst>
        </xdr:cNvPr>
        <xdr:cNvSpPr txBox="1">
          <a:spLocks noChangeArrowheads="1"/>
        </xdr:cNvSpPr>
      </xdr:nvSpPr>
      <xdr:spPr bwMode="auto">
        <a:xfrm>
          <a:off x="0" y="581025"/>
          <a:ext cx="7743825" cy="238125"/>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t" upright="1"/>
        <a:lstStyle/>
        <a:p>
          <a:pPr algn="l" rtl="0">
            <a:defRPr sz="1000"/>
          </a:pPr>
          <a:r>
            <a:rPr lang="it-IT" sz="1200" b="1" i="0" strike="noStrike">
              <a:solidFill>
                <a:srgbClr val="000000"/>
              </a:solidFill>
              <a:latin typeface="Arial"/>
              <a:cs typeface="Arial"/>
            </a:rPr>
            <a:t>Tabella 8</a:t>
          </a:r>
          <a:r>
            <a:rPr lang="it-IT" sz="800" b="1" i="0" strike="noStrike">
              <a:solidFill>
                <a:srgbClr val="000000"/>
              </a:solidFill>
              <a:latin typeface="Arial"/>
              <a:cs typeface="Arial"/>
            </a:rPr>
            <a:t> </a:t>
          </a:r>
          <a:r>
            <a:rPr lang="it-IT" sz="800" b="0" i="0" strike="noStrike">
              <a:solidFill>
                <a:srgbClr val="000000"/>
              </a:solidFill>
              <a:latin typeface="Arial"/>
              <a:cs typeface="Arial"/>
            </a:rPr>
            <a:t>- </a:t>
          </a:r>
          <a:r>
            <a:rPr lang="it-IT" sz="900" b="0" i="0" strike="noStrike">
              <a:solidFill>
                <a:srgbClr val="000000"/>
              </a:solidFill>
              <a:latin typeface="Arial"/>
              <a:cs typeface="Arial"/>
            </a:rPr>
            <a:t>Personale a tempo indeterminato e personale dirigente distribuito per classi di età al 31 dicembre </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2</xdr:row>
      <xdr:rowOff>39370</xdr:rowOff>
    </xdr:from>
    <xdr:to>
      <xdr:col>8</xdr:col>
      <xdr:colOff>364094</xdr:colOff>
      <xdr:row>2</xdr:row>
      <xdr:rowOff>288177</xdr:rowOff>
    </xdr:to>
    <xdr:sp macro="" textlink="">
      <xdr:nvSpPr>
        <xdr:cNvPr id="21505" name="Testo 2">
          <a:extLst>
            <a:ext uri="{FF2B5EF4-FFF2-40B4-BE49-F238E27FC236}">
              <a16:creationId xmlns:a16="http://schemas.microsoft.com/office/drawing/2014/main" id="{00000000-0008-0000-0C00-000001540000}"/>
            </a:ext>
          </a:extLst>
        </xdr:cNvPr>
        <xdr:cNvSpPr txBox="1">
          <a:spLocks noChangeArrowheads="1"/>
        </xdr:cNvSpPr>
      </xdr:nvSpPr>
      <xdr:spPr bwMode="auto">
        <a:xfrm>
          <a:off x="0" y="647700"/>
          <a:ext cx="7376160" cy="257175"/>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t" upright="1"/>
        <a:lstStyle/>
        <a:p>
          <a:pPr algn="l" rtl="0">
            <a:defRPr sz="1000"/>
          </a:pPr>
          <a:r>
            <a:rPr lang="it-IT" sz="1200" b="1" i="0" strike="noStrike">
              <a:solidFill>
                <a:srgbClr val="000000"/>
              </a:solidFill>
              <a:latin typeface="Arial"/>
              <a:cs typeface="Arial"/>
            </a:rPr>
            <a:t>TABELLA 9 - </a:t>
          </a:r>
          <a:r>
            <a:rPr lang="it-IT" sz="900" b="0" i="0" strike="noStrike">
              <a:solidFill>
                <a:srgbClr val="000000"/>
              </a:solidFill>
              <a:latin typeface="Arial"/>
              <a:cs typeface="Arial"/>
            </a:rPr>
            <a:t>Personale dipendente a tempo indeterminato e personale dirigente distribuito per titolo di studio posseduto al 31 dicembre</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2</xdr:col>
      <xdr:colOff>0</xdr:colOff>
      <xdr:row>1</xdr:row>
      <xdr:rowOff>23495</xdr:rowOff>
    </xdr:from>
    <xdr:to>
      <xdr:col>14</xdr:col>
      <xdr:colOff>0</xdr:colOff>
      <xdr:row>1</xdr:row>
      <xdr:rowOff>286944</xdr:rowOff>
    </xdr:to>
    <xdr:sp macro="" textlink="">
      <xdr:nvSpPr>
        <xdr:cNvPr id="35842" name="Testo 9">
          <a:extLst>
            <a:ext uri="{FF2B5EF4-FFF2-40B4-BE49-F238E27FC236}">
              <a16:creationId xmlns:a16="http://schemas.microsoft.com/office/drawing/2014/main" id="{00000000-0008-0000-0D00-0000028C0000}"/>
            </a:ext>
          </a:extLst>
        </xdr:cNvPr>
        <xdr:cNvSpPr txBox="1">
          <a:spLocks noChangeArrowheads="1"/>
        </xdr:cNvSpPr>
      </xdr:nvSpPr>
      <xdr:spPr bwMode="auto">
        <a:xfrm>
          <a:off x="2619375" y="590550"/>
          <a:ext cx="5372100" cy="257175"/>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27432" anchor="ctr" upright="1"/>
        <a:lstStyle/>
        <a:p>
          <a:pPr algn="l" rtl="0">
            <a:defRPr sz="1000"/>
          </a:pPr>
          <a:r>
            <a:rPr lang="it-IT" sz="1200" b="1" i="0" strike="noStrike">
              <a:solidFill>
                <a:srgbClr val="000000"/>
              </a:solidFill>
              <a:latin typeface="Arial"/>
              <a:cs typeface="Arial"/>
            </a:rPr>
            <a:t>Tabella 10</a:t>
          </a:r>
          <a:r>
            <a:rPr lang="it-IT" sz="900" b="1" i="0" strike="noStrike">
              <a:solidFill>
                <a:srgbClr val="000000"/>
              </a:solidFill>
              <a:latin typeface="Arial"/>
              <a:cs typeface="Arial"/>
            </a:rPr>
            <a:t> </a:t>
          </a:r>
          <a:r>
            <a:rPr lang="it-IT" sz="900" b="0" i="0" strike="noStrike">
              <a:solidFill>
                <a:srgbClr val="000000"/>
              </a:solidFill>
              <a:latin typeface="Arial"/>
              <a:cs typeface="Arial"/>
            </a:rPr>
            <a:t>Personale  in servizio al 31 dicembre  distribuito per Regioni e all'estero.</a:t>
          </a:r>
        </a:p>
      </xdr:txBody>
    </xdr:sp>
    <xdr:clientData/>
  </xdr:twoCellAnchor>
  <xdr:twoCellAnchor>
    <xdr:from>
      <xdr:col>26</xdr:col>
      <xdr:colOff>0</xdr:colOff>
      <xdr:row>1</xdr:row>
      <xdr:rowOff>23495</xdr:rowOff>
    </xdr:from>
    <xdr:to>
      <xdr:col>37</xdr:col>
      <xdr:colOff>24178</xdr:colOff>
      <xdr:row>1</xdr:row>
      <xdr:rowOff>286944</xdr:rowOff>
    </xdr:to>
    <xdr:sp macro="" textlink="">
      <xdr:nvSpPr>
        <xdr:cNvPr id="35847" name="Testo 9">
          <a:extLst>
            <a:ext uri="{FF2B5EF4-FFF2-40B4-BE49-F238E27FC236}">
              <a16:creationId xmlns:a16="http://schemas.microsoft.com/office/drawing/2014/main" id="{00000000-0008-0000-0D00-0000078C0000}"/>
            </a:ext>
          </a:extLst>
        </xdr:cNvPr>
        <xdr:cNvSpPr txBox="1">
          <a:spLocks noChangeArrowheads="1"/>
        </xdr:cNvSpPr>
      </xdr:nvSpPr>
      <xdr:spPr bwMode="auto">
        <a:xfrm>
          <a:off x="13363575" y="590550"/>
          <a:ext cx="5372100" cy="257175"/>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27432" anchor="ctr" upright="1"/>
        <a:lstStyle/>
        <a:p>
          <a:pPr algn="l" rtl="0">
            <a:defRPr sz="1000"/>
          </a:pPr>
          <a:r>
            <a:rPr lang="it-IT" sz="1200" b="1" i="0" strike="noStrike">
              <a:solidFill>
                <a:srgbClr val="000000"/>
              </a:solidFill>
              <a:latin typeface="Arial"/>
              <a:cs typeface="Arial"/>
            </a:rPr>
            <a:t>Tabella 10</a:t>
          </a:r>
          <a:r>
            <a:rPr lang="it-IT" sz="900" b="1" i="0" strike="noStrike">
              <a:solidFill>
                <a:srgbClr val="000000"/>
              </a:solidFill>
              <a:latin typeface="Arial"/>
              <a:cs typeface="Arial"/>
            </a:rPr>
            <a:t> </a:t>
          </a:r>
          <a:r>
            <a:rPr lang="it-IT" sz="900" b="0" i="0" strike="noStrike">
              <a:solidFill>
                <a:srgbClr val="000000"/>
              </a:solidFill>
              <a:latin typeface="Arial"/>
              <a:cs typeface="Arial"/>
            </a:rPr>
            <a:t>Personale  in servizio al 31 dicembre  distribuito per Regioni e all'estero.</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1</xdr:row>
      <xdr:rowOff>19685</xdr:rowOff>
    </xdr:from>
    <xdr:to>
      <xdr:col>35</xdr:col>
      <xdr:colOff>76196</xdr:colOff>
      <xdr:row>1</xdr:row>
      <xdr:rowOff>295810</xdr:rowOff>
    </xdr:to>
    <xdr:sp macro="" textlink="">
      <xdr:nvSpPr>
        <xdr:cNvPr id="60417" name="Testo 3">
          <a:extLst>
            <a:ext uri="{FF2B5EF4-FFF2-40B4-BE49-F238E27FC236}">
              <a16:creationId xmlns:a16="http://schemas.microsoft.com/office/drawing/2014/main" id="{00000000-0008-0000-0E00-000001EC0000}"/>
            </a:ext>
          </a:extLst>
        </xdr:cNvPr>
        <xdr:cNvSpPr txBox="1">
          <a:spLocks noChangeArrowheads="1"/>
        </xdr:cNvSpPr>
      </xdr:nvSpPr>
      <xdr:spPr bwMode="auto">
        <a:xfrm>
          <a:off x="0" y="577215"/>
          <a:ext cx="5562600" cy="257175"/>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t" upright="1"/>
        <a:lstStyle/>
        <a:p>
          <a:pPr algn="l" rtl="0">
            <a:defRPr sz="1000"/>
          </a:pPr>
          <a:r>
            <a:rPr lang="it-IT" sz="1200" b="1" i="0" strike="noStrike">
              <a:solidFill>
                <a:srgbClr val="000000"/>
              </a:solidFill>
              <a:latin typeface="Arial"/>
              <a:cs typeface="Arial"/>
            </a:rPr>
            <a:t>TABELLA 11</a:t>
          </a:r>
          <a:r>
            <a:rPr lang="it-IT" sz="900" b="1" i="0" strike="noStrike">
              <a:solidFill>
                <a:srgbClr val="000000"/>
              </a:solidFill>
              <a:latin typeface="Arial"/>
              <a:cs typeface="Arial"/>
            </a:rPr>
            <a:t> </a:t>
          </a:r>
          <a:r>
            <a:rPr lang="it-IT" sz="900" b="0" i="0" strike="noStrike">
              <a:solidFill>
                <a:srgbClr val="000000"/>
              </a:solidFill>
              <a:latin typeface="Arial"/>
              <a:cs typeface="Arial"/>
            </a:rPr>
            <a:t>- Numero giorni di assenza del personale in servizio nel corso dell'anno</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0</xdr:colOff>
      <xdr:row>1</xdr:row>
      <xdr:rowOff>52070</xdr:rowOff>
    </xdr:from>
    <xdr:to>
      <xdr:col>32</xdr:col>
      <xdr:colOff>0</xdr:colOff>
      <xdr:row>1</xdr:row>
      <xdr:rowOff>268341</xdr:rowOff>
    </xdr:to>
    <xdr:sp macro="" textlink="">
      <xdr:nvSpPr>
        <xdr:cNvPr id="32769" name="Testo 3">
          <a:extLst>
            <a:ext uri="{FF2B5EF4-FFF2-40B4-BE49-F238E27FC236}">
              <a16:creationId xmlns:a16="http://schemas.microsoft.com/office/drawing/2014/main" id="{00000000-0008-0000-0F00-000001800000}"/>
            </a:ext>
          </a:extLst>
        </xdr:cNvPr>
        <xdr:cNvSpPr txBox="1">
          <a:spLocks noChangeArrowheads="1"/>
        </xdr:cNvSpPr>
      </xdr:nvSpPr>
      <xdr:spPr bwMode="auto">
        <a:xfrm>
          <a:off x="0" y="457200"/>
          <a:ext cx="6637020" cy="238125"/>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t" upright="1"/>
        <a:lstStyle/>
        <a:p>
          <a:pPr algn="l" rtl="0">
            <a:defRPr sz="1000"/>
          </a:pPr>
          <a:r>
            <a:rPr lang="it-IT" sz="1200" b="1" i="0" strike="noStrike">
              <a:solidFill>
                <a:srgbClr val="000000"/>
              </a:solidFill>
              <a:latin typeface="Arial"/>
              <a:cs typeface="Arial"/>
            </a:rPr>
            <a:t>Tabella 12 </a:t>
          </a:r>
          <a:r>
            <a:rPr lang="it-IT" sz="1200" b="0" i="0" strike="noStrike">
              <a:solidFill>
                <a:srgbClr val="000000"/>
              </a:solidFill>
              <a:latin typeface="Arial"/>
              <a:cs typeface="Arial"/>
            </a:rPr>
            <a:t>-</a:t>
          </a:r>
          <a:r>
            <a:rPr lang="it-IT" sz="1200" b="1" i="0" strike="noStrike">
              <a:solidFill>
                <a:srgbClr val="000000"/>
              </a:solidFill>
              <a:latin typeface="Arial"/>
              <a:cs typeface="Arial"/>
            </a:rPr>
            <a:t> </a:t>
          </a:r>
          <a:r>
            <a:rPr lang="it-IT" sz="800" b="0" i="0" strike="noStrike">
              <a:solidFill>
                <a:srgbClr val="000000"/>
              </a:solidFill>
              <a:latin typeface="Arial"/>
              <a:cs typeface="Arial"/>
            </a:rPr>
            <a:t> </a:t>
          </a:r>
          <a:r>
            <a:rPr lang="it-IT" sz="1000" b="0" i="0" strike="noStrike">
              <a:solidFill>
                <a:srgbClr val="000000"/>
              </a:solidFill>
              <a:latin typeface="Arial"/>
              <a:cs typeface="Arial"/>
            </a:rPr>
            <a:t>oneri annui  per voci retributive a carattere "stipendiale" corrisposte al personale  in servizio (*)</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1</xdr:row>
      <xdr:rowOff>48260</xdr:rowOff>
    </xdr:from>
    <xdr:to>
      <xdr:col>33</xdr:col>
      <xdr:colOff>144800</xdr:colOff>
      <xdr:row>1</xdr:row>
      <xdr:rowOff>271163</xdr:rowOff>
    </xdr:to>
    <xdr:sp macro="" textlink="">
      <xdr:nvSpPr>
        <xdr:cNvPr id="31745" name="Testo 3">
          <a:extLst>
            <a:ext uri="{FF2B5EF4-FFF2-40B4-BE49-F238E27FC236}">
              <a16:creationId xmlns:a16="http://schemas.microsoft.com/office/drawing/2014/main" id="{00000000-0008-0000-1000-0000017C0000}"/>
            </a:ext>
          </a:extLst>
        </xdr:cNvPr>
        <xdr:cNvSpPr txBox="1">
          <a:spLocks noChangeArrowheads="1"/>
        </xdr:cNvSpPr>
      </xdr:nvSpPr>
      <xdr:spPr bwMode="auto">
        <a:xfrm>
          <a:off x="0" y="504825"/>
          <a:ext cx="6278880" cy="228600"/>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t" upright="1"/>
        <a:lstStyle/>
        <a:p>
          <a:pPr algn="l" rtl="0">
            <a:defRPr sz="1000"/>
          </a:pPr>
          <a:r>
            <a:rPr lang="it-IT" sz="1200" b="1" i="0" strike="noStrike">
              <a:solidFill>
                <a:srgbClr val="000000"/>
              </a:solidFill>
              <a:latin typeface="Arial"/>
              <a:cs typeface="Arial"/>
            </a:rPr>
            <a:t>Tabella 13 </a:t>
          </a:r>
          <a:r>
            <a:rPr lang="it-IT" sz="1200" b="0" i="0" strike="noStrike">
              <a:solidFill>
                <a:srgbClr val="000000"/>
              </a:solidFill>
              <a:latin typeface="Arial"/>
              <a:cs typeface="Arial"/>
            </a:rPr>
            <a:t>- </a:t>
          </a:r>
          <a:r>
            <a:rPr lang="it-IT" sz="1000" b="0" i="0" strike="noStrike">
              <a:solidFill>
                <a:srgbClr val="000000"/>
              </a:solidFill>
              <a:latin typeface="Arial"/>
              <a:cs typeface="Arial"/>
            </a:rPr>
            <a:t>oneri annui per indennità e compensi accessori corrisposti  al personale  in servizio (*)</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0</xdr:colOff>
      <xdr:row>1</xdr:row>
      <xdr:rowOff>23495</xdr:rowOff>
    </xdr:from>
    <xdr:to>
      <xdr:col>0</xdr:col>
      <xdr:colOff>4341937</xdr:colOff>
      <xdr:row>1</xdr:row>
      <xdr:rowOff>252095</xdr:rowOff>
    </xdr:to>
    <xdr:sp macro="" textlink="">
      <xdr:nvSpPr>
        <xdr:cNvPr id="41986" name="Testo 4">
          <a:extLst>
            <a:ext uri="{FF2B5EF4-FFF2-40B4-BE49-F238E27FC236}">
              <a16:creationId xmlns:a16="http://schemas.microsoft.com/office/drawing/2014/main" id="{00000000-0008-0000-1100-000002A40000}"/>
            </a:ext>
          </a:extLst>
        </xdr:cNvPr>
        <xdr:cNvSpPr txBox="1">
          <a:spLocks noChangeArrowheads="1"/>
        </xdr:cNvSpPr>
      </xdr:nvSpPr>
      <xdr:spPr bwMode="auto">
        <a:xfrm>
          <a:off x="0" y="590550"/>
          <a:ext cx="4667250" cy="228600"/>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t" upright="1"/>
        <a:lstStyle/>
        <a:p>
          <a:pPr algn="l" rtl="0">
            <a:defRPr sz="1000"/>
          </a:pPr>
          <a:r>
            <a:rPr lang="it-IT" sz="1200" b="1" i="0" strike="noStrike">
              <a:solidFill>
                <a:srgbClr val="000000"/>
              </a:solidFill>
              <a:latin typeface="Arial"/>
              <a:cs typeface="Arial"/>
            </a:rPr>
            <a:t>TABELLA 14</a:t>
          </a:r>
          <a:r>
            <a:rPr lang="it-IT" sz="800" b="0" i="0" strike="noStrike">
              <a:solidFill>
                <a:srgbClr val="000000"/>
              </a:solidFill>
              <a:latin typeface="Arial"/>
              <a:cs typeface="Arial"/>
            </a:rPr>
            <a:t> -  </a:t>
          </a:r>
          <a:r>
            <a:rPr lang="it-IT" sz="1000" b="0" i="0" strike="noStrike">
              <a:solidFill>
                <a:srgbClr val="000000"/>
              </a:solidFill>
              <a:latin typeface="Arial"/>
              <a:cs typeface="Arial"/>
            </a:rPr>
            <a:t>Altri oneri che concorrono a formare il costo del lavoro  (*)</a:t>
          </a:r>
        </a:p>
      </xdr:txBody>
    </xdr:sp>
    <xdr:clientData/>
  </xdr:twoCellAnchor>
  <mc:AlternateContent xmlns:mc="http://schemas.openxmlformats.org/markup-compatibility/2006">
    <mc:Choice xmlns:a14="http://schemas.microsoft.com/office/drawing/2010/main" Requires="a14">
      <xdr:twoCellAnchor editAs="oneCell">
        <xdr:from>
          <xdr:col>4</xdr:col>
          <xdr:colOff>38100</xdr:colOff>
          <xdr:row>21</xdr:row>
          <xdr:rowOff>66675</xdr:rowOff>
        </xdr:from>
        <xdr:to>
          <xdr:col>4</xdr:col>
          <xdr:colOff>428625</xdr:colOff>
          <xdr:row>21</xdr:row>
          <xdr:rowOff>257175</xdr:rowOff>
        </xdr:to>
        <xdr:sp macro="" textlink="">
          <xdr:nvSpPr>
            <xdr:cNvPr id="42977" name="Drop Down 993" descr="No" hidden="1">
              <a:extLst>
                <a:ext uri="{63B3BB69-23CF-44E3-9099-C40C66FF867C}">
                  <a14:compatExt spid="_x0000_s42977"/>
                </a:ext>
                <a:ext uri="{FF2B5EF4-FFF2-40B4-BE49-F238E27FC236}">
                  <a16:creationId xmlns:a16="http://schemas.microsoft.com/office/drawing/2014/main" id="{00000000-0008-0000-1100-0000E1A70000}"/>
                </a:ext>
              </a:extLst>
            </xdr:cNvPr>
            <xdr:cNvSpPr/>
          </xdr:nvSpPr>
          <xdr:spPr bwMode="auto">
            <a:xfrm>
              <a:off x="0" y="0"/>
              <a:ext cx="0" cy="0"/>
            </a:xfrm>
            <a:prstGeom prst="rect">
              <a:avLst/>
            </a:prstGeom>
            <a:noFill/>
            <a:ln>
              <a:noFill/>
            </a:ln>
            <a:effectLst/>
            <a:extLst>
              <a:ext uri="{91240B29-F687-4F45-9708-019B960494DF}">
                <a14:hiddenLine w="9525">
                  <a:noFill/>
                  <a:miter lim="800000"/>
                  <a:headEnd/>
                  <a:tailEnd/>
                </a14:hiddenLine>
              </a:ext>
              <a:ext uri="{53640926-AAD7-44D8-BBD7-CCE9431645EC}">
                <a14:shadowObscured val="1"/>
              </a:ext>
            </a:extLst>
          </xdr:spPr>
        </xdr:sp>
        <xdr:clientData/>
      </xdr:twoCellAnchor>
    </mc:Choice>
    <mc:Fallback/>
  </mc:AlternateContent>
</xdr:wsDr>
</file>

<file path=xl/drawings/drawing19.xml><?xml version="1.0" encoding="utf-8"?>
<xdr:wsDr xmlns:xdr="http://schemas.openxmlformats.org/drawingml/2006/spreadsheetDrawing" xmlns:a="http://schemas.openxmlformats.org/drawingml/2006/main">
  <xdr:twoCellAnchor>
    <xdr:from>
      <xdr:col>0</xdr:col>
      <xdr:colOff>0</xdr:colOff>
      <xdr:row>2</xdr:row>
      <xdr:rowOff>0</xdr:rowOff>
    </xdr:from>
    <xdr:to>
      <xdr:col>5</xdr:col>
      <xdr:colOff>0</xdr:colOff>
      <xdr:row>3</xdr:row>
      <xdr:rowOff>0</xdr:rowOff>
    </xdr:to>
    <xdr:sp macro="" textlink="">
      <xdr:nvSpPr>
        <xdr:cNvPr id="2" name="Testo 3">
          <a:extLst>
            <a:ext uri="{FF2B5EF4-FFF2-40B4-BE49-F238E27FC236}">
              <a16:creationId xmlns:a16="http://schemas.microsoft.com/office/drawing/2014/main" id="{00000000-0008-0000-1200-000002000000}"/>
            </a:ext>
          </a:extLst>
        </xdr:cNvPr>
        <xdr:cNvSpPr txBox="1">
          <a:spLocks noChangeArrowheads="1"/>
        </xdr:cNvSpPr>
      </xdr:nvSpPr>
      <xdr:spPr bwMode="auto">
        <a:xfrm>
          <a:off x="0" y="762000"/>
          <a:ext cx="9525000" cy="533400"/>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ctr" anchorCtr="0" upright="1"/>
        <a:lstStyle/>
        <a:p>
          <a:pPr algn="l" rtl="0">
            <a:defRPr sz="1000"/>
          </a:pPr>
          <a:r>
            <a:rPr lang="it-IT" sz="1600" b="1" i="0" strike="noStrike">
              <a:solidFill>
                <a:srgbClr val="000000"/>
              </a:solidFill>
              <a:latin typeface="Arial"/>
              <a:cs typeface="Arial"/>
            </a:rPr>
            <a:t>Tabella 15 </a:t>
          </a:r>
          <a:r>
            <a:rPr lang="it-IT" sz="1600" b="1" i="0" strike="noStrike">
              <a:solidFill>
                <a:srgbClr val="000000"/>
              </a:solidFill>
              <a:latin typeface="Arial" pitchFamily="34" charset="0"/>
              <a:cs typeface="Arial" pitchFamily="34" charset="0"/>
            </a:rPr>
            <a:t>- </a:t>
          </a:r>
          <a:r>
            <a:rPr lang="it-IT" sz="1600" b="0" i="0">
              <a:latin typeface="Arial" pitchFamily="34" charset="0"/>
              <a:ea typeface="+mn-ea"/>
              <a:cs typeface="Arial" pitchFamily="34" charset="0"/>
            </a:rPr>
            <a:t>Fondi per il trattamento accessorio	</a:t>
          </a:r>
          <a:r>
            <a:rPr lang="it-IT" sz="1600" b="1" i="0" strike="noStrike">
              <a:solidFill>
                <a:srgbClr val="000000"/>
              </a:solidFill>
              <a:latin typeface="Arial"/>
              <a:cs typeface="Arial"/>
            </a:rPr>
            <a:t>Macrocategoria: DIRIGENTI DI 1^ FASCIA</a:t>
          </a:r>
        </a:p>
      </xdr:txBody>
    </xdr:sp>
    <xdr:clientData/>
  </xdr:twoCellAnchor>
  <xdr:twoCellAnchor>
    <xdr:from>
      <xdr:col>0</xdr:col>
      <xdr:colOff>0</xdr:colOff>
      <xdr:row>2</xdr:row>
      <xdr:rowOff>0</xdr:rowOff>
    </xdr:from>
    <xdr:to>
      <xdr:col>5</xdr:col>
      <xdr:colOff>0</xdr:colOff>
      <xdr:row>3</xdr:row>
      <xdr:rowOff>0</xdr:rowOff>
    </xdr:to>
    <xdr:sp macro="" textlink="">
      <xdr:nvSpPr>
        <xdr:cNvPr id="3" name="Testo 3">
          <a:extLst>
            <a:ext uri="{FF2B5EF4-FFF2-40B4-BE49-F238E27FC236}">
              <a16:creationId xmlns:a16="http://schemas.microsoft.com/office/drawing/2014/main" id="{00000000-0008-0000-1200-000003000000}"/>
            </a:ext>
          </a:extLst>
        </xdr:cNvPr>
        <xdr:cNvSpPr txBox="1">
          <a:spLocks noChangeArrowheads="1"/>
        </xdr:cNvSpPr>
      </xdr:nvSpPr>
      <xdr:spPr bwMode="auto">
        <a:xfrm>
          <a:off x="0" y="742950"/>
          <a:ext cx="9486900" cy="561975"/>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ctr" anchorCtr="0" upright="1"/>
        <a:lstStyle/>
        <a:p>
          <a:pPr algn="l" rtl="0">
            <a:defRPr sz="1000"/>
          </a:pPr>
          <a:r>
            <a:rPr lang="it-IT" sz="1600" b="1" i="0" strike="noStrike">
              <a:solidFill>
                <a:srgbClr val="000000"/>
              </a:solidFill>
              <a:latin typeface="Arial"/>
              <a:cs typeface="Arial"/>
            </a:rPr>
            <a:t>Tabella 15 </a:t>
          </a:r>
          <a:r>
            <a:rPr lang="it-IT" sz="1600" b="1" i="0" strike="noStrike">
              <a:solidFill>
                <a:srgbClr val="000000"/>
              </a:solidFill>
              <a:latin typeface="Arial" pitchFamily="34" charset="0"/>
              <a:cs typeface="Arial" pitchFamily="34" charset="0"/>
            </a:rPr>
            <a:t>- </a:t>
          </a:r>
          <a:r>
            <a:rPr lang="it-IT" sz="1600" b="0" i="0">
              <a:latin typeface="Arial" pitchFamily="34" charset="0"/>
              <a:ea typeface="+mn-ea"/>
              <a:cs typeface="Arial" pitchFamily="34" charset="0"/>
            </a:rPr>
            <a:t>Fondi per il trattamento accessorio	</a:t>
          </a:r>
          <a:r>
            <a:rPr lang="it-IT" sz="1600" b="1" i="0" strike="noStrike">
              <a:solidFill>
                <a:srgbClr val="000000"/>
              </a:solidFill>
              <a:latin typeface="Arial"/>
              <a:cs typeface="Arial"/>
            </a:rPr>
            <a:t>Macrocategoria: DIRIGENTI DI 1^ FASCIA</a:t>
          </a:r>
        </a:p>
      </xdr:txBody>
    </xdr:sp>
    <xdr:clientData/>
  </xdr:twoCellAnchor>
  <xdr:twoCellAnchor>
    <xdr:from>
      <xdr:col>0</xdr:col>
      <xdr:colOff>0</xdr:colOff>
      <xdr:row>2</xdr:row>
      <xdr:rowOff>0</xdr:rowOff>
    </xdr:from>
    <xdr:to>
      <xdr:col>5</xdr:col>
      <xdr:colOff>0</xdr:colOff>
      <xdr:row>3</xdr:row>
      <xdr:rowOff>0</xdr:rowOff>
    </xdr:to>
    <xdr:sp macro="" textlink="">
      <xdr:nvSpPr>
        <xdr:cNvPr id="4" name="Testo 3">
          <a:extLst>
            <a:ext uri="{FF2B5EF4-FFF2-40B4-BE49-F238E27FC236}">
              <a16:creationId xmlns:a16="http://schemas.microsoft.com/office/drawing/2014/main" id="{00000000-0008-0000-1200-000004000000}"/>
            </a:ext>
          </a:extLst>
        </xdr:cNvPr>
        <xdr:cNvSpPr txBox="1">
          <a:spLocks noChangeArrowheads="1"/>
        </xdr:cNvSpPr>
      </xdr:nvSpPr>
      <xdr:spPr bwMode="auto">
        <a:xfrm>
          <a:off x="0" y="742950"/>
          <a:ext cx="9486900" cy="561975"/>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ctr" anchorCtr="0" upright="1"/>
        <a:lstStyle/>
        <a:p>
          <a:pPr algn="l" rtl="0">
            <a:defRPr sz="1000"/>
          </a:pPr>
          <a:r>
            <a:rPr lang="it-IT" sz="1600" b="1" i="0" strike="noStrike">
              <a:solidFill>
                <a:srgbClr val="000000"/>
              </a:solidFill>
              <a:latin typeface="Arial"/>
              <a:cs typeface="Arial"/>
            </a:rPr>
            <a:t>Tabella 15 </a:t>
          </a:r>
          <a:r>
            <a:rPr lang="it-IT" sz="1600" b="1" i="0" strike="noStrike">
              <a:solidFill>
                <a:srgbClr val="000000"/>
              </a:solidFill>
              <a:latin typeface="Arial" pitchFamily="34" charset="0"/>
              <a:cs typeface="Arial" pitchFamily="34" charset="0"/>
            </a:rPr>
            <a:t>- </a:t>
          </a:r>
          <a:r>
            <a:rPr lang="it-IT" sz="1600" b="0" i="0">
              <a:latin typeface="Arial" pitchFamily="34" charset="0"/>
              <a:ea typeface="+mn-ea"/>
              <a:cs typeface="Arial" pitchFamily="34" charset="0"/>
            </a:rPr>
            <a:t>Fondi per il trattamento accessorio	</a:t>
          </a:r>
          <a:r>
            <a:rPr lang="it-IT" sz="1600" b="1" i="0" strike="noStrike">
              <a:solidFill>
                <a:srgbClr val="000000"/>
              </a:solidFill>
              <a:latin typeface="Arial"/>
              <a:cs typeface="Arial"/>
            </a:rPr>
            <a:t>Macrocategoria: DIRIGENTI DI 1^ FASCIA</a:t>
          </a:r>
        </a:p>
      </xdr:txBody>
    </xdr:sp>
    <xdr:clientData/>
  </xdr:twoCellAnchor>
  <xdr:twoCellAnchor>
    <xdr:from>
      <xdr:col>0</xdr:col>
      <xdr:colOff>0</xdr:colOff>
      <xdr:row>2</xdr:row>
      <xdr:rowOff>0</xdr:rowOff>
    </xdr:from>
    <xdr:to>
      <xdr:col>5</xdr:col>
      <xdr:colOff>0</xdr:colOff>
      <xdr:row>3</xdr:row>
      <xdr:rowOff>0</xdr:rowOff>
    </xdr:to>
    <xdr:sp macro="" textlink="">
      <xdr:nvSpPr>
        <xdr:cNvPr id="5" name="Testo 3">
          <a:extLst>
            <a:ext uri="{FF2B5EF4-FFF2-40B4-BE49-F238E27FC236}">
              <a16:creationId xmlns:a16="http://schemas.microsoft.com/office/drawing/2014/main" id="{00000000-0008-0000-1200-000005000000}"/>
            </a:ext>
          </a:extLst>
        </xdr:cNvPr>
        <xdr:cNvSpPr txBox="1">
          <a:spLocks noChangeArrowheads="1"/>
        </xdr:cNvSpPr>
      </xdr:nvSpPr>
      <xdr:spPr bwMode="auto">
        <a:xfrm>
          <a:off x="0" y="742950"/>
          <a:ext cx="9486900" cy="561975"/>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ctr" anchorCtr="0" upright="1"/>
        <a:lstStyle/>
        <a:p>
          <a:pPr algn="l" rtl="0">
            <a:defRPr sz="1000"/>
          </a:pPr>
          <a:r>
            <a:rPr lang="it-IT" sz="1600" b="1" i="0" strike="noStrike">
              <a:solidFill>
                <a:srgbClr val="000000"/>
              </a:solidFill>
              <a:latin typeface="Arial"/>
              <a:cs typeface="Arial"/>
            </a:rPr>
            <a:t>Tabella 15 </a:t>
          </a:r>
          <a:r>
            <a:rPr lang="it-IT" sz="1600" b="1" i="0" strike="noStrike">
              <a:solidFill>
                <a:srgbClr val="000000"/>
              </a:solidFill>
              <a:latin typeface="Arial" pitchFamily="34" charset="0"/>
              <a:cs typeface="Arial" pitchFamily="34" charset="0"/>
            </a:rPr>
            <a:t>- </a:t>
          </a:r>
          <a:r>
            <a:rPr lang="it-IT" sz="1600" b="0" i="0">
              <a:latin typeface="Arial" pitchFamily="34" charset="0"/>
              <a:ea typeface="+mn-ea"/>
              <a:cs typeface="Arial" pitchFamily="34" charset="0"/>
            </a:rPr>
            <a:t>Fondi per il trattamento accessorio	</a:t>
          </a:r>
          <a:r>
            <a:rPr lang="it-IT" sz="1600" b="1" i="0" strike="noStrike">
              <a:solidFill>
                <a:srgbClr val="000000"/>
              </a:solidFill>
              <a:latin typeface="Arial"/>
              <a:cs typeface="Arial"/>
            </a:rPr>
            <a:t>Macrocategoria: DIRIGENTI DI 1^ FASCIA</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0</xdr:col>
      <xdr:colOff>0</xdr:colOff>
      <xdr:row>2</xdr:row>
      <xdr:rowOff>0</xdr:rowOff>
    </xdr:from>
    <xdr:to>
      <xdr:col>5</xdr:col>
      <xdr:colOff>0</xdr:colOff>
      <xdr:row>3</xdr:row>
      <xdr:rowOff>0</xdr:rowOff>
    </xdr:to>
    <xdr:sp macro="" textlink="">
      <xdr:nvSpPr>
        <xdr:cNvPr id="2" name="Testo 3">
          <a:extLst>
            <a:ext uri="{FF2B5EF4-FFF2-40B4-BE49-F238E27FC236}">
              <a16:creationId xmlns:a16="http://schemas.microsoft.com/office/drawing/2014/main" id="{00000000-0008-0000-1300-000002000000}"/>
            </a:ext>
          </a:extLst>
        </xdr:cNvPr>
        <xdr:cNvSpPr txBox="1">
          <a:spLocks noChangeArrowheads="1"/>
        </xdr:cNvSpPr>
      </xdr:nvSpPr>
      <xdr:spPr bwMode="auto">
        <a:xfrm>
          <a:off x="0" y="762000"/>
          <a:ext cx="9525000" cy="533400"/>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ctr" anchorCtr="0" upright="1"/>
        <a:lstStyle/>
        <a:p>
          <a:pPr algn="l" rtl="0">
            <a:defRPr sz="1000"/>
          </a:pPr>
          <a:r>
            <a:rPr lang="it-IT" sz="1600" b="1" i="0" strike="noStrike">
              <a:solidFill>
                <a:srgbClr val="000000"/>
              </a:solidFill>
              <a:latin typeface="Arial"/>
              <a:cs typeface="Arial"/>
            </a:rPr>
            <a:t>Tabella 15 </a:t>
          </a:r>
          <a:r>
            <a:rPr lang="it-IT" sz="1600" b="1" i="0" strike="noStrike">
              <a:solidFill>
                <a:srgbClr val="000000"/>
              </a:solidFill>
              <a:latin typeface="Arial" pitchFamily="34" charset="0"/>
              <a:cs typeface="Arial" pitchFamily="34" charset="0"/>
            </a:rPr>
            <a:t>- </a:t>
          </a:r>
          <a:r>
            <a:rPr lang="it-IT" sz="1600" b="0" i="0">
              <a:latin typeface="Arial" pitchFamily="34" charset="0"/>
              <a:ea typeface="+mn-ea"/>
              <a:cs typeface="Arial" pitchFamily="34" charset="0"/>
            </a:rPr>
            <a:t>Fondi per il trattamento accessorio	</a:t>
          </a:r>
          <a:r>
            <a:rPr lang="it-IT" sz="1600" b="1" i="0" strike="noStrike">
              <a:solidFill>
                <a:srgbClr val="000000"/>
              </a:solidFill>
              <a:latin typeface="Arial"/>
              <a:cs typeface="Arial"/>
            </a:rPr>
            <a:t>Macrocategoria: DIRIGENTI DI 2^ FASCIA</a:t>
          </a:r>
        </a:p>
      </xdr:txBody>
    </xdr:sp>
    <xdr:clientData/>
  </xdr:twoCellAnchor>
  <xdr:twoCellAnchor>
    <xdr:from>
      <xdr:col>0</xdr:col>
      <xdr:colOff>0</xdr:colOff>
      <xdr:row>2</xdr:row>
      <xdr:rowOff>0</xdr:rowOff>
    </xdr:from>
    <xdr:to>
      <xdr:col>5</xdr:col>
      <xdr:colOff>0</xdr:colOff>
      <xdr:row>3</xdr:row>
      <xdr:rowOff>0</xdr:rowOff>
    </xdr:to>
    <xdr:sp macro="" textlink="">
      <xdr:nvSpPr>
        <xdr:cNvPr id="3" name="Testo 3">
          <a:extLst>
            <a:ext uri="{FF2B5EF4-FFF2-40B4-BE49-F238E27FC236}">
              <a16:creationId xmlns:a16="http://schemas.microsoft.com/office/drawing/2014/main" id="{00000000-0008-0000-1300-000003000000}"/>
            </a:ext>
          </a:extLst>
        </xdr:cNvPr>
        <xdr:cNvSpPr txBox="1">
          <a:spLocks noChangeArrowheads="1"/>
        </xdr:cNvSpPr>
      </xdr:nvSpPr>
      <xdr:spPr bwMode="auto">
        <a:xfrm>
          <a:off x="0" y="742950"/>
          <a:ext cx="9486900" cy="561975"/>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ctr" anchorCtr="0" upright="1"/>
        <a:lstStyle/>
        <a:p>
          <a:pPr algn="l" rtl="0">
            <a:defRPr sz="1000"/>
          </a:pPr>
          <a:r>
            <a:rPr lang="it-IT" sz="1600" b="1" i="0" strike="noStrike">
              <a:solidFill>
                <a:srgbClr val="000000"/>
              </a:solidFill>
              <a:latin typeface="Arial"/>
              <a:cs typeface="Arial"/>
            </a:rPr>
            <a:t>Tabella 15 </a:t>
          </a:r>
          <a:r>
            <a:rPr lang="it-IT" sz="1600" b="1" i="0" strike="noStrike">
              <a:solidFill>
                <a:srgbClr val="000000"/>
              </a:solidFill>
              <a:latin typeface="Arial" pitchFamily="34" charset="0"/>
              <a:cs typeface="Arial" pitchFamily="34" charset="0"/>
            </a:rPr>
            <a:t>- </a:t>
          </a:r>
          <a:r>
            <a:rPr lang="it-IT" sz="1600" b="0" i="0">
              <a:latin typeface="Arial" pitchFamily="34" charset="0"/>
              <a:ea typeface="+mn-ea"/>
              <a:cs typeface="Arial" pitchFamily="34" charset="0"/>
            </a:rPr>
            <a:t>Fondi per il trattamento accessorio	</a:t>
          </a:r>
          <a:r>
            <a:rPr lang="it-IT" sz="1600" b="1" i="0" strike="noStrike">
              <a:solidFill>
                <a:srgbClr val="000000"/>
              </a:solidFill>
              <a:latin typeface="Arial"/>
              <a:cs typeface="Arial"/>
            </a:rPr>
            <a:t>Macrocategoria: DIRIGENTI DI 2^ FASCIA</a:t>
          </a:r>
        </a:p>
      </xdr:txBody>
    </xdr:sp>
    <xdr:clientData/>
  </xdr:twoCellAnchor>
  <xdr:twoCellAnchor>
    <xdr:from>
      <xdr:col>0</xdr:col>
      <xdr:colOff>0</xdr:colOff>
      <xdr:row>2</xdr:row>
      <xdr:rowOff>0</xdr:rowOff>
    </xdr:from>
    <xdr:to>
      <xdr:col>5</xdr:col>
      <xdr:colOff>0</xdr:colOff>
      <xdr:row>3</xdr:row>
      <xdr:rowOff>0</xdr:rowOff>
    </xdr:to>
    <xdr:sp macro="" textlink="">
      <xdr:nvSpPr>
        <xdr:cNvPr id="4" name="Testo 3">
          <a:extLst>
            <a:ext uri="{FF2B5EF4-FFF2-40B4-BE49-F238E27FC236}">
              <a16:creationId xmlns:a16="http://schemas.microsoft.com/office/drawing/2014/main" id="{00000000-0008-0000-1300-000004000000}"/>
            </a:ext>
          </a:extLst>
        </xdr:cNvPr>
        <xdr:cNvSpPr txBox="1">
          <a:spLocks noChangeArrowheads="1"/>
        </xdr:cNvSpPr>
      </xdr:nvSpPr>
      <xdr:spPr bwMode="auto">
        <a:xfrm>
          <a:off x="0" y="742950"/>
          <a:ext cx="9486900" cy="561975"/>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ctr" anchorCtr="0" upright="1"/>
        <a:lstStyle/>
        <a:p>
          <a:pPr algn="l" rtl="0">
            <a:defRPr sz="1000"/>
          </a:pPr>
          <a:r>
            <a:rPr lang="it-IT" sz="1600" b="1" i="0" strike="noStrike">
              <a:solidFill>
                <a:srgbClr val="000000"/>
              </a:solidFill>
              <a:latin typeface="Arial"/>
              <a:cs typeface="Arial"/>
            </a:rPr>
            <a:t>Tabella 15 </a:t>
          </a:r>
          <a:r>
            <a:rPr lang="it-IT" sz="1600" b="1" i="0" strike="noStrike">
              <a:solidFill>
                <a:srgbClr val="000000"/>
              </a:solidFill>
              <a:latin typeface="Arial" pitchFamily="34" charset="0"/>
              <a:cs typeface="Arial" pitchFamily="34" charset="0"/>
            </a:rPr>
            <a:t>- </a:t>
          </a:r>
          <a:r>
            <a:rPr lang="it-IT" sz="1600" b="0" i="0">
              <a:latin typeface="Arial" pitchFamily="34" charset="0"/>
              <a:ea typeface="+mn-ea"/>
              <a:cs typeface="Arial" pitchFamily="34" charset="0"/>
            </a:rPr>
            <a:t>Fondi per il trattamento accessorio	</a:t>
          </a:r>
          <a:r>
            <a:rPr lang="it-IT" sz="1600" b="1" i="0" strike="noStrike">
              <a:solidFill>
                <a:srgbClr val="000000"/>
              </a:solidFill>
              <a:latin typeface="Arial"/>
              <a:cs typeface="Arial"/>
            </a:rPr>
            <a:t>Macrocategoria: DIRIGENTI DI 2^ FASCIA</a:t>
          </a:r>
        </a:p>
      </xdr:txBody>
    </xdr:sp>
    <xdr:clientData/>
  </xdr:twoCellAnchor>
  <xdr:twoCellAnchor>
    <xdr:from>
      <xdr:col>0</xdr:col>
      <xdr:colOff>0</xdr:colOff>
      <xdr:row>2</xdr:row>
      <xdr:rowOff>0</xdr:rowOff>
    </xdr:from>
    <xdr:to>
      <xdr:col>5</xdr:col>
      <xdr:colOff>0</xdr:colOff>
      <xdr:row>3</xdr:row>
      <xdr:rowOff>0</xdr:rowOff>
    </xdr:to>
    <xdr:sp macro="" textlink="">
      <xdr:nvSpPr>
        <xdr:cNvPr id="5" name="Testo 3">
          <a:extLst>
            <a:ext uri="{FF2B5EF4-FFF2-40B4-BE49-F238E27FC236}">
              <a16:creationId xmlns:a16="http://schemas.microsoft.com/office/drawing/2014/main" id="{00000000-0008-0000-1300-000005000000}"/>
            </a:ext>
          </a:extLst>
        </xdr:cNvPr>
        <xdr:cNvSpPr txBox="1">
          <a:spLocks noChangeArrowheads="1"/>
        </xdr:cNvSpPr>
      </xdr:nvSpPr>
      <xdr:spPr bwMode="auto">
        <a:xfrm>
          <a:off x="0" y="742950"/>
          <a:ext cx="9486900" cy="561975"/>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ctr" anchorCtr="0" upright="1"/>
        <a:lstStyle/>
        <a:p>
          <a:pPr algn="l" rtl="0">
            <a:defRPr sz="1000"/>
          </a:pPr>
          <a:r>
            <a:rPr lang="it-IT" sz="1600" b="1" i="0" strike="noStrike">
              <a:solidFill>
                <a:srgbClr val="000000"/>
              </a:solidFill>
              <a:latin typeface="Arial"/>
              <a:cs typeface="Arial"/>
            </a:rPr>
            <a:t>Tabella 15 </a:t>
          </a:r>
          <a:r>
            <a:rPr lang="it-IT" sz="1600" b="1" i="0" strike="noStrike">
              <a:solidFill>
                <a:srgbClr val="000000"/>
              </a:solidFill>
              <a:latin typeface="Arial" pitchFamily="34" charset="0"/>
              <a:cs typeface="Arial" pitchFamily="34" charset="0"/>
            </a:rPr>
            <a:t>- </a:t>
          </a:r>
          <a:r>
            <a:rPr lang="it-IT" sz="1600" b="0" i="0">
              <a:latin typeface="Arial" pitchFamily="34" charset="0"/>
              <a:ea typeface="+mn-ea"/>
              <a:cs typeface="Arial" pitchFamily="34" charset="0"/>
            </a:rPr>
            <a:t>Fondi per il trattamento accessorio	</a:t>
          </a:r>
          <a:r>
            <a:rPr lang="it-IT" sz="1600" b="1" i="0" strike="noStrike">
              <a:solidFill>
                <a:srgbClr val="000000"/>
              </a:solidFill>
              <a:latin typeface="Arial"/>
              <a:cs typeface="Arial"/>
            </a:rPr>
            <a:t>Macrocategoria: DIRIGENTI DI 2^ FASCIA</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0</xdr:colOff>
      <xdr:row>2</xdr:row>
      <xdr:rowOff>0</xdr:rowOff>
    </xdr:from>
    <xdr:to>
      <xdr:col>5</xdr:col>
      <xdr:colOff>0</xdr:colOff>
      <xdr:row>3</xdr:row>
      <xdr:rowOff>0</xdr:rowOff>
    </xdr:to>
    <xdr:sp macro="" textlink="">
      <xdr:nvSpPr>
        <xdr:cNvPr id="2" name="Testo 3">
          <a:extLst>
            <a:ext uri="{FF2B5EF4-FFF2-40B4-BE49-F238E27FC236}">
              <a16:creationId xmlns:a16="http://schemas.microsoft.com/office/drawing/2014/main" id="{00000000-0008-0000-1400-000002000000}"/>
            </a:ext>
          </a:extLst>
        </xdr:cNvPr>
        <xdr:cNvSpPr txBox="1">
          <a:spLocks noChangeArrowheads="1"/>
        </xdr:cNvSpPr>
      </xdr:nvSpPr>
      <xdr:spPr bwMode="auto">
        <a:xfrm>
          <a:off x="0" y="762000"/>
          <a:ext cx="9525000" cy="533400"/>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ctr" anchorCtr="0" upright="1"/>
        <a:lstStyle/>
        <a:p>
          <a:pPr algn="l" rtl="0">
            <a:defRPr sz="1000"/>
          </a:pPr>
          <a:r>
            <a:rPr lang="it-IT" sz="1600" b="1" i="0" strike="noStrike">
              <a:solidFill>
                <a:srgbClr val="000000"/>
              </a:solidFill>
              <a:latin typeface="Arial"/>
              <a:cs typeface="Arial"/>
            </a:rPr>
            <a:t>Tabella 15 </a:t>
          </a:r>
          <a:r>
            <a:rPr lang="it-IT" sz="1600" b="1" i="0" strike="noStrike">
              <a:solidFill>
                <a:srgbClr val="000000"/>
              </a:solidFill>
              <a:latin typeface="Arial" pitchFamily="34" charset="0"/>
              <a:cs typeface="Arial" pitchFamily="34" charset="0"/>
            </a:rPr>
            <a:t>- </a:t>
          </a:r>
          <a:r>
            <a:rPr lang="it-IT" sz="1600" b="0" i="0">
              <a:latin typeface="Arial" pitchFamily="34" charset="0"/>
              <a:ea typeface="+mn-ea"/>
              <a:cs typeface="Arial" pitchFamily="34" charset="0"/>
            </a:rPr>
            <a:t>Fondi per il trattamento accessorio	</a:t>
          </a:r>
          <a:r>
            <a:rPr lang="it-IT" sz="1600" b="1" i="0" strike="noStrike">
              <a:solidFill>
                <a:srgbClr val="000000"/>
              </a:solidFill>
              <a:latin typeface="Arial"/>
              <a:cs typeface="Arial"/>
            </a:rPr>
            <a:t>Macrocategoria: MEDICI</a:t>
          </a:r>
        </a:p>
      </xdr:txBody>
    </xdr:sp>
    <xdr:clientData/>
  </xdr:twoCellAnchor>
  <xdr:twoCellAnchor>
    <xdr:from>
      <xdr:col>0</xdr:col>
      <xdr:colOff>0</xdr:colOff>
      <xdr:row>2</xdr:row>
      <xdr:rowOff>0</xdr:rowOff>
    </xdr:from>
    <xdr:to>
      <xdr:col>5</xdr:col>
      <xdr:colOff>0</xdr:colOff>
      <xdr:row>3</xdr:row>
      <xdr:rowOff>0</xdr:rowOff>
    </xdr:to>
    <xdr:sp macro="" textlink="">
      <xdr:nvSpPr>
        <xdr:cNvPr id="3" name="Testo 3">
          <a:extLst>
            <a:ext uri="{FF2B5EF4-FFF2-40B4-BE49-F238E27FC236}">
              <a16:creationId xmlns:a16="http://schemas.microsoft.com/office/drawing/2014/main" id="{00000000-0008-0000-1400-000003000000}"/>
            </a:ext>
          </a:extLst>
        </xdr:cNvPr>
        <xdr:cNvSpPr txBox="1">
          <a:spLocks noChangeArrowheads="1"/>
        </xdr:cNvSpPr>
      </xdr:nvSpPr>
      <xdr:spPr bwMode="auto">
        <a:xfrm>
          <a:off x="0" y="742950"/>
          <a:ext cx="9486900" cy="561975"/>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ctr" anchorCtr="0" upright="1"/>
        <a:lstStyle/>
        <a:p>
          <a:pPr algn="l" rtl="0">
            <a:defRPr sz="1000"/>
          </a:pPr>
          <a:r>
            <a:rPr lang="it-IT" sz="1600" b="1" i="0" strike="noStrike">
              <a:solidFill>
                <a:srgbClr val="000000"/>
              </a:solidFill>
              <a:latin typeface="Arial"/>
              <a:cs typeface="Arial"/>
            </a:rPr>
            <a:t>Tabella 15 </a:t>
          </a:r>
          <a:r>
            <a:rPr lang="it-IT" sz="1600" b="1" i="0" strike="noStrike">
              <a:solidFill>
                <a:srgbClr val="000000"/>
              </a:solidFill>
              <a:latin typeface="Arial" pitchFamily="34" charset="0"/>
              <a:cs typeface="Arial" pitchFamily="34" charset="0"/>
            </a:rPr>
            <a:t>- </a:t>
          </a:r>
          <a:r>
            <a:rPr lang="it-IT" sz="1600" b="0" i="0">
              <a:latin typeface="Arial" pitchFamily="34" charset="0"/>
              <a:ea typeface="+mn-ea"/>
              <a:cs typeface="Arial" pitchFamily="34" charset="0"/>
            </a:rPr>
            <a:t>Fondi per il trattamento accessorio	</a:t>
          </a:r>
          <a:r>
            <a:rPr lang="it-IT" sz="1600" b="1" i="0" strike="noStrike">
              <a:solidFill>
                <a:srgbClr val="000000"/>
              </a:solidFill>
              <a:latin typeface="Arial"/>
              <a:cs typeface="Arial"/>
            </a:rPr>
            <a:t>Macrocategoria: MEDICI</a:t>
          </a:r>
        </a:p>
      </xdr:txBody>
    </xdr:sp>
    <xdr:clientData/>
  </xdr:twoCellAnchor>
  <xdr:twoCellAnchor>
    <xdr:from>
      <xdr:col>0</xdr:col>
      <xdr:colOff>0</xdr:colOff>
      <xdr:row>2</xdr:row>
      <xdr:rowOff>0</xdr:rowOff>
    </xdr:from>
    <xdr:to>
      <xdr:col>5</xdr:col>
      <xdr:colOff>0</xdr:colOff>
      <xdr:row>3</xdr:row>
      <xdr:rowOff>0</xdr:rowOff>
    </xdr:to>
    <xdr:sp macro="" textlink="">
      <xdr:nvSpPr>
        <xdr:cNvPr id="4" name="Testo 3">
          <a:extLst>
            <a:ext uri="{FF2B5EF4-FFF2-40B4-BE49-F238E27FC236}">
              <a16:creationId xmlns:a16="http://schemas.microsoft.com/office/drawing/2014/main" id="{00000000-0008-0000-1400-000004000000}"/>
            </a:ext>
          </a:extLst>
        </xdr:cNvPr>
        <xdr:cNvSpPr txBox="1">
          <a:spLocks noChangeArrowheads="1"/>
        </xdr:cNvSpPr>
      </xdr:nvSpPr>
      <xdr:spPr bwMode="auto">
        <a:xfrm>
          <a:off x="0" y="742950"/>
          <a:ext cx="9486900" cy="561975"/>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ctr" anchorCtr="0" upright="1"/>
        <a:lstStyle/>
        <a:p>
          <a:pPr algn="l" rtl="0">
            <a:defRPr sz="1000"/>
          </a:pPr>
          <a:r>
            <a:rPr lang="it-IT" sz="1600" b="1" i="0" strike="noStrike">
              <a:solidFill>
                <a:srgbClr val="000000"/>
              </a:solidFill>
              <a:latin typeface="Arial"/>
              <a:cs typeface="Arial"/>
            </a:rPr>
            <a:t>Tabella 15 </a:t>
          </a:r>
          <a:r>
            <a:rPr lang="it-IT" sz="1600" b="1" i="0" strike="noStrike">
              <a:solidFill>
                <a:srgbClr val="000000"/>
              </a:solidFill>
              <a:latin typeface="Arial" pitchFamily="34" charset="0"/>
              <a:cs typeface="Arial" pitchFamily="34" charset="0"/>
            </a:rPr>
            <a:t>- </a:t>
          </a:r>
          <a:r>
            <a:rPr lang="it-IT" sz="1600" b="0" i="0">
              <a:latin typeface="Arial" pitchFamily="34" charset="0"/>
              <a:ea typeface="+mn-ea"/>
              <a:cs typeface="Arial" pitchFamily="34" charset="0"/>
            </a:rPr>
            <a:t>Fondi per il trattamento accessorio	</a:t>
          </a:r>
          <a:r>
            <a:rPr lang="it-IT" sz="1600" b="1" i="0" strike="noStrike">
              <a:solidFill>
                <a:srgbClr val="000000"/>
              </a:solidFill>
              <a:latin typeface="Arial"/>
              <a:cs typeface="Arial"/>
            </a:rPr>
            <a:t>Macrocategoria: MEDICI</a:t>
          </a:r>
        </a:p>
      </xdr:txBody>
    </xdr:sp>
    <xdr:clientData/>
  </xdr:twoCellAnchor>
  <xdr:twoCellAnchor>
    <xdr:from>
      <xdr:col>0</xdr:col>
      <xdr:colOff>0</xdr:colOff>
      <xdr:row>2</xdr:row>
      <xdr:rowOff>0</xdr:rowOff>
    </xdr:from>
    <xdr:to>
      <xdr:col>5</xdr:col>
      <xdr:colOff>0</xdr:colOff>
      <xdr:row>3</xdr:row>
      <xdr:rowOff>0</xdr:rowOff>
    </xdr:to>
    <xdr:sp macro="" textlink="">
      <xdr:nvSpPr>
        <xdr:cNvPr id="5" name="Testo 3">
          <a:extLst>
            <a:ext uri="{FF2B5EF4-FFF2-40B4-BE49-F238E27FC236}">
              <a16:creationId xmlns:a16="http://schemas.microsoft.com/office/drawing/2014/main" id="{00000000-0008-0000-1400-000005000000}"/>
            </a:ext>
          </a:extLst>
        </xdr:cNvPr>
        <xdr:cNvSpPr txBox="1">
          <a:spLocks noChangeArrowheads="1"/>
        </xdr:cNvSpPr>
      </xdr:nvSpPr>
      <xdr:spPr bwMode="auto">
        <a:xfrm>
          <a:off x="0" y="742950"/>
          <a:ext cx="9486900" cy="561975"/>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ctr" anchorCtr="0" upright="1"/>
        <a:lstStyle/>
        <a:p>
          <a:pPr algn="l" rtl="0">
            <a:defRPr sz="1000"/>
          </a:pPr>
          <a:r>
            <a:rPr lang="it-IT" sz="1600" b="1" i="0" strike="noStrike">
              <a:solidFill>
                <a:srgbClr val="000000"/>
              </a:solidFill>
              <a:latin typeface="Arial"/>
              <a:cs typeface="Arial"/>
            </a:rPr>
            <a:t>Tabella 15 </a:t>
          </a:r>
          <a:r>
            <a:rPr lang="it-IT" sz="1600" b="1" i="0" strike="noStrike">
              <a:solidFill>
                <a:srgbClr val="000000"/>
              </a:solidFill>
              <a:latin typeface="Arial" pitchFamily="34" charset="0"/>
              <a:cs typeface="Arial" pitchFamily="34" charset="0"/>
            </a:rPr>
            <a:t>- </a:t>
          </a:r>
          <a:r>
            <a:rPr lang="it-IT" sz="1600" b="0" i="0">
              <a:latin typeface="Arial" pitchFamily="34" charset="0"/>
              <a:ea typeface="+mn-ea"/>
              <a:cs typeface="Arial" pitchFamily="34" charset="0"/>
            </a:rPr>
            <a:t>Fondi per il trattamento accessorio	</a:t>
          </a:r>
          <a:r>
            <a:rPr lang="it-IT" sz="1600" b="1" i="0" strike="noStrike">
              <a:solidFill>
                <a:srgbClr val="000000"/>
              </a:solidFill>
              <a:latin typeface="Arial"/>
              <a:cs typeface="Arial"/>
            </a:rPr>
            <a:t>Macrocategoria: MEDICI</a:t>
          </a: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0</xdr:col>
      <xdr:colOff>0</xdr:colOff>
      <xdr:row>2</xdr:row>
      <xdr:rowOff>0</xdr:rowOff>
    </xdr:from>
    <xdr:to>
      <xdr:col>5</xdr:col>
      <xdr:colOff>0</xdr:colOff>
      <xdr:row>3</xdr:row>
      <xdr:rowOff>0</xdr:rowOff>
    </xdr:to>
    <xdr:sp macro="" textlink="">
      <xdr:nvSpPr>
        <xdr:cNvPr id="2" name="Testo 3">
          <a:extLst>
            <a:ext uri="{FF2B5EF4-FFF2-40B4-BE49-F238E27FC236}">
              <a16:creationId xmlns:a16="http://schemas.microsoft.com/office/drawing/2014/main" id="{00000000-0008-0000-1500-000002000000}"/>
            </a:ext>
          </a:extLst>
        </xdr:cNvPr>
        <xdr:cNvSpPr txBox="1">
          <a:spLocks noChangeArrowheads="1"/>
        </xdr:cNvSpPr>
      </xdr:nvSpPr>
      <xdr:spPr bwMode="auto">
        <a:xfrm>
          <a:off x="0" y="762000"/>
          <a:ext cx="9525000" cy="533400"/>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ctr" anchorCtr="0" upright="1"/>
        <a:lstStyle/>
        <a:p>
          <a:pPr algn="l" rtl="0">
            <a:defRPr sz="1000"/>
          </a:pPr>
          <a:r>
            <a:rPr lang="it-IT" sz="1600" b="1" i="0" strike="noStrike">
              <a:solidFill>
                <a:srgbClr val="000000"/>
              </a:solidFill>
              <a:latin typeface="Arial"/>
              <a:cs typeface="Arial"/>
            </a:rPr>
            <a:t>Tabella 15 </a:t>
          </a:r>
          <a:r>
            <a:rPr lang="it-IT" sz="1600" b="1" i="0" strike="noStrike">
              <a:solidFill>
                <a:srgbClr val="000000"/>
              </a:solidFill>
              <a:latin typeface="Arial" pitchFamily="34" charset="0"/>
              <a:cs typeface="Arial" pitchFamily="34" charset="0"/>
            </a:rPr>
            <a:t>- </a:t>
          </a:r>
          <a:r>
            <a:rPr lang="it-IT" sz="1600" b="0" i="0">
              <a:latin typeface="Arial" pitchFamily="34" charset="0"/>
              <a:ea typeface="+mn-ea"/>
              <a:cs typeface="Arial" pitchFamily="34" charset="0"/>
            </a:rPr>
            <a:t>Fondi per il trattamento accessorio	</a:t>
          </a:r>
          <a:r>
            <a:rPr lang="it-IT" sz="1600" b="1" i="0" strike="noStrike">
              <a:solidFill>
                <a:srgbClr val="000000"/>
              </a:solidFill>
              <a:latin typeface="Arial"/>
              <a:cs typeface="Arial"/>
            </a:rPr>
            <a:t>Macrocategoria: PROFESSIONISTI</a:t>
          </a:r>
        </a:p>
      </xdr:txBody>
    </xdr:sp>
    <xdr:clientData/>
  </xdr:twoCellAnchor>
  <xdr:twoCellAnchor>
    <xdr:from>
      <xdr:col>0</xdr:col>
      <xdr:colOff>0</xdr:colOff>
      <xdr:row>2</xdr:row>
      <xdr:rowOff>0</xdr:rowOff>
    </xdr:from>
    <xdr:to>
      <xdr:col>5</xdr:col>
      <xdr:colOff>0</xdr:colOff>
      <xdr:row>3</xdr:row>
      <xdr:rowOff>0</xdr:rowOff>
    </xdr:to>
    <xdr:sp macro="" textlink="">
      <xdr:nvSpPr>
        <xdr:cNvPr id="3" name="Testo 3">
          <a:extLst>
            <a:ext uri="{FF2B5EF4-FFF2-40B4-BE49-F238E27FC236}">
              <a16:creationId xmlns:a16="http://schemas.microsoft.com/office/drawing/2014/main" id="{00000000-0008-0000-1500-000003000000}"/>
            </a:ext>
          </a:extLst>
        </xdr:cNvPr>
        <xdr:cNvSpPr txBox="1">
          <a:spLocks noChangeArrowheads="1"/>
        </xdr:cNvSpPr>
      </xdr:nvSpPr>
      <xdr:spPr bwMode="auto">
        <a:xfrm>
          <a:off x="0" y="742950"/>
          <a:ext cx="9486900" cy="561975"/>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ctr" anchorCtr="0" upright="1"/>
        <a:lstStyle/>
        <a:p>
          <a:pPr algn="l" rtl="0">
            <a:defRPr sz="1000"/>
          </a:pPr>
          <a:r>
            <a:rPr lang="it-IT" sz="1600" b="1" i="0" strike="noStrike">
              <a:solidFill>
                <a:srgbClr val="000000"/>
              </a:solidFill>
              <a:latin typeface="Arial"/>
              <a:cs typeface="Arial"/>
            </a:rPr>
            <a:t>Tabella 15 </a:t>
          </a:r>
          <a:r>
            <a:rPr lang="it-IT" sz="1600" b="1" i="0" strike="noStrike">
              <a:solidFill>
                <a:srgbClr val="000000"/>
              </a:solidFill>
              <a:latin typeface="Arial" pitchFamily="34" charset="0"/>
              <a:cs typeface="Arial" pitchFamily="34" charset="0"/>
            </a:rPr>
            <a:t>- </a:t>
          </a:r>
          <a:r>
            <a:rPr lang="it-IT" sz="1600" b="0" i="0">
              <a:latin typeface="Arial" pitchFamily="34" charset="0"/>
              <a:ea typeface="+mn-ea"/>
              <a:cs typeface="Arial" pitchFamily="34" charset="0"/>
            </a:rPr>
            <a:t>Fondi per il trattamento accessorio	</a:t>
          </a:r>
          <a:r>
            <a:rPr lang="it-IT" sz="1600" b="1" i="0" strike="noStrike">
              <a:solidFill>
                <a:srgbClr val="000000"/>
              </a:solidFill>
              <a:latin typeface="Arial"/>
              <a:cs typeface="Arial"/>
            </a:rPr>
            <a:t>Macrocategoria: PROFESSIONISTI</a:t>
          </a:r>
        </a:p>
      </xdr:txBody>
    </xdr:sp>
    <xdr:clientData/>
  </xdr:twoCellAnchor>
  <xdr:twoCellAnchor>
    <xdr:from>
      <xdr:col>0</xdr:col>
      <xdr:colOff>0</xdr:colOff>
      <xdr:row>2</xdr:row>
      <xdr:rowOff>0</xdr:rowOff>
    </xdr:from>
    <xdr:to>
      <xdr:col>5</xdr:col>
      <xdr:colOff>0</xdr:colOff>
      <xdr:row>3</xdr:row>
      <xdr:rowOff>0</xdr:rowOff>
    </xdr:to>
    <xdr:sp macro="" textlink="">
      <xdr:nvSpPr>
        <xdr:cNvPr id="4" name="Testo 3">
          <a:extLst>
            <a:ext uri="{FF2B5EF4-FFF2-40B4-BE49-F238E27FC236}">
              <a16:creationId xmlns:a16="http://schemas.microsoft.com/office/drawing/2014/main" id="{00000000-0008-0000-1500-000004000000}"/>
            </a:ext>
          </a:extLst>
        </xdr:cNvPr>
        <xdr:cNvSpPr txBox="1">
          <a:spLocks noChangeArrowheads="1"/>
        </xdr:cNvSpPr>
      </xdr:nvSpPr>
      <xdr:spPr bwMode="auto">
        <a:xfrm>
          <a:off x="0" y="742950"/>
          <a:ext cx="9486900" cy="561975"/>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ctr" anchorCtr="0" upright="1"/>
        <a:lstStyle/>
        <a:p>
          <a:pPr algn="l" rtl="0">
            <a:defRPr sz="1000"/>
          </a:pPr>
          <a:r>
            <a:rPr lang="it-IT" sz="1600" b="1" i="0" strike="noStrike">
              <a:solidFill>
                <a:srgbClr val="000000"/>
              </a:solidFill>
              <a:latin typeface="Arial"/>
              <a:cs typeface="Arial"/>
            </a:rPr>
            <a:t>Tabella 15 </a:t>
          </a:r>
          <a:r>
            <a:rPr lang="it-IT" sz="1600" b="1" i="0" strike="noStrike">
              <a:solidFill>
                <a:srgbClr val="000000"/>
              </a:solidFill>
              <a:latin typeface="Arial" pitchFamily="34" charset="0"/>
              <a:cs typeface="Arial" pitchFamily="34" charset="0"/>
            </a:rPr>
            <a:t>- </a:t>
          </a:r>
          <a:r>
            <a:rPr lang="it-IT" sz="1600" b="0" i="0">
              <a:latin typeface="Arial" pitchFamily="34" charset="0"/>
              <a:ea typeface="+mn-ea"/>
              <a:cs typeface="Arial" pitchFamily="34" charset="0"/>
            </a:rPr>
            <a:t>Fondi per il trattamento accessorio	</a:t>
          </a:r>
          <a:r>
            <a:rPr lang="it-IT" sz="1600" b="1" i="0" strike="noStrike">
              <a:solidFill>
                <a:srgbClr val="000000"/>
              </a:solidFill>
              <a:latin typeface="Arial"/>
              <a:cs typeface="Arial"/>
            </a:rPr>
            <a:t>Macrocategoria: PROFESSIONISTI</a:t>
          </a:r>
        </a:p>
      </xdr:txBody>
    </xdr:sp>
    <xdr:clientData/>
  </xdr:twoCellAnchor>
  <xdr:twoCellAnchor>
    <xdr:from>
      <xdr:col>0</xdr:col>
      <xdr:colOff>0</xdr:colOff>
      <xdr:row>2</xdr:row>
      <xdr:rowOff>0</xdr:rowOff>
    </xdr:from>
    <xdr:to>
      <xdr:col>5</xdr:col>
      <xdr:colOff>0</xdr:colOff>
      <xdr:row>3</xdr:row>
      <xdr:rowOff>0</xdr:rowOff>
    </xdr:to>
    <xdr:sp macro="" textlink="">
      <xdr:nvSpPr>
        <xdr:cNvPr id="5" name="Testo 3">
          <a:extLst>
            <a:ext uri="{FF2B5EF4-FFF2-40B4-BE49-F238E27FC236}">
              <a16:creationId xmlns:a16="http://schemas.microsoft.com/office/drawing/2014/main" id="{00000000-0008-0000-1500-000005000000}"/>
            </a:ext>
          </a:extLst>
        </xdr:cNvPr>
        <xdr:cNvSpPr txBox="1">
          <a:spLocks noChangeArrowheads="1"/>
        </xdr:cNvSpPr>
      </xdr:nvSpPr>
      <xdr:spPr bwMode="auto">
        <a:xfrm>
          <a:off x="0" y="742950"/>
          <a:ext cx="9486900" cy="561975"/>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ctr" anchorCtr="0" upright="1"/>
        <a:lstStyle/>
        <a:p>
          <a:pPr algn="l" rtl="0">
            <a:defRPr sz="1000"/>
          </a:pPr>
          <a:r>
            <a:rPr lang="it-IT" sz="1600" b="1" i="0" strike="noStrike">
              <a:solidFill>
                <a:srgbClr val="000000"/>
              </a:solidFill>
              <a:latin typeface="Arial"/>
              <a:cs typeface="Arial"/>
            </a:rPr>
            <a:t>Tabella 15 </a:t>
          </a:r>
          <a:r>
            <a:rPr lang="it-IT" sz="1600" b="1" i="0" strike="noStrike">
              <a:solidFill>
                <a:srgbClr val="000000"/>
              </a:solidFill>
              <a:latin typeface="Arial" pitchFamily="34" charset="0"/>
              <a:cs typeface="Arial" pitchFamily="34" charset="0"/>
            </a:rPr>
            <a:t>- </a:t>
          </a:r>
          <a:r>
            <a:rPr lang="it-IT" sz="1600" b="0" i="0">
              <a:latin typeface="Arial" pitchFamily="34" charset="0"/>
              <a:ea typeface="+mn-ea"/>
              <a:cs typeface="Arial" pitchFamily="34" charset="0"/>
            </a:rPr>
            <a:t>Fondi per il trattamento accessorio	</a:t>
          </a:r>
          <a:r>
            <a:rPr lang="it-IT" sz="1600" b="1" i="0" strike="noStrike">
              <a:solidFill>
                <a:srgbClr val="000000"/>
              </a:solidFill>
              <a:latin typeface="Arial"/>
              <a:cs typeface="Arial"/>
            </a:rPr>
            <a:t>Macrocategoria: PROFESSIONISTI</a:t>
          </a: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0</xdr:col>
      <xdr:colOff>0</xdr:colOff>
      <xdr:row>2</xdr:row>
      <xdr:rowOff>0</xdr:rowOff>
    </xdr:from>
    <xdr:to>
      <xdr:col>5</xdr:col>
      <xdr:colOff>0</xdr:colOff>
      <xdr:row>3</xdr:row>
      <xdr:rowOff>0</xdr:rowOff>
    </xdr:to>
    <xdr:sp macro="" textlink="">
      <xdr:nvSpPr>
        <xdr:cNvPr id="2" name="Testo 3">
          <a:extLst>
            <a:ext uri="{FF2B5EF4-FFF2-40B4-BE49-F238E27FC236}">
              <a16:creationId xmlns:a16="http://schemas.microsoft.com/office/drawing/2014/main" id="{00000000-0008-0000-1600-000002000000}"/>
            </a:ext>
          </a:extLst>
        </xdr:cNvPr>
        <xdr:cNvSpPr txBox="1">
          <a:spLocks noChangeArrowheads="1"/>
        </xdr:cNvSpPr>
      </xdr:nvSpPr>
      <xdr:spPr bwMode="auto">
        <a:xfrm>
          <a:off x="0" y="762000"/>
          <a:ext cx="9525000" cy="533400"/>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ctr" anchorCtr="0" upright="1"/>
        <a:lstStyle/>
        <a:p>
          <a:pPr algn="l" rtl="0">
            <a:defRPr sz="1000"/>
          </a:pPr>
          <a:r>
            <a:rPr lang="it-IT" sz="1600" b="1" i="0" strike="noStrike">
              <a:solidFill>
                <a:srgbClr val="000000"/>
              </a:solidFill>
              <a:latin typeface="Arial"/>
              <a:cs typeface="Arial"/>
            </a:rPr>
            <a:t>Tabella 15 </a:t>
          </a:r>
          <a:r>
            <a:rPr lang="it-IT" sz="1600" b="1" i="0" strike="noStrike">
              <a:solidFill>
                <a:srgbClr val="000000"/>
              </a:solidFill>
              <a:latin typeface="Arial" pitchFamily="34" charset="0"/>
              <a:cs typeface="Arial" pitchFamily="34" charset="0"/>
            </a:rPr>
            <a:t>- </a:t>
          </a:r>
          <a:r>
            <a:rPr lang="it-IT" sz="1600" b="0" i="0">
              <a:latin typeface="Arial" pitchFamily="34" charset="0"/>
              <a:ea typeface="+mn-ea"/>
              <a:cs typeface="Arial" pitchFamily="34" charset="0"/>
            </a:rPr>
            <a:t>Fondi per il trattamento accessorio	</a:t>
          </a:r>
          <a:r>
            <a:rPr lang="it-IT" sz="1600" b="1" i="0" strike="noStrike">
              <a:solidFill>
                <a:srgbClr val="000000"/>
              </a:solidFill>
              <a:latin typeface="Arial"/>
              <a:cs typeface="Arial"/>
            </a:rPr>
            <a:t>Macrocategoria: PERSONALE NON DIRIGENTE</a:t>
          </a:r>
        </a:p>
      </xdr:txBody>
    </xdr:sp>
    <xdr:clientData/>
  </xdr:twoCellAnchor>
  <xdr:twoCellAnchor>
    <xdr:from>
      <xdr:col>0</xdr:col>
      <xdr:colOff>0</xdr:colOff>
      <xdr:row>2</xdr:row>
      <xdr:rowOff>0</xdr:rowOff>
    </xdr:from>
    <xdr:to>
      <xdr:col>5</xdr:col>
      <xdr:colOff>0</xdr:colOff>
      <xdr:row>3</xdr:row>
      <xdr:rowOff>0</xdr:rowOff>
    </xdr:to>
    <xdr:sp macro="" textlink="">
      <xdr:nvSpPr>
        <xdr:cNvPr id="3" name="Testo 3">
          <a:extLst>
            <a:ext uri="{FF2B5EF4-FFF2-40B4-BE49-F238E27FC236}">
              <a16:creationId xmlns:a16="http://schemas.microsoft.com/office/drawing/2014/main" id="{00000000-0008-0000-1600-000003000000}"/>
            </a:ext>
          </a:extLst>
        </xdr:cNvPr>
        <xdr:cNvSpPr txBox="1">
          <a:spLocks noChangeArrowheads="1"/>
        </xdr:cNvSpPr>
      </xdr:nvSpPr>
      <xdr:spPr bwMode="auto">
        <a:xfrm>
          <a:off x="0" y="742950"/>
          <a:ext cx="9486900" cy="561975"/>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ctr" anchorCtr="0" upright="1"/>
        <a:lstStyle/>
        <a:p>
          <a:pPr algn="l" rtl="0">
            <a:defRPr sz="1000"/>
          </a:pPr>
          <a:r>
            <a:rPr lang="it-IT" sz="1600" b="1" i="0" strike="noStrike">
              <a:solidFill>
                <a:srgbClr val="000000"/>
              </a:solidFill>
              <a:latin typeface="Arial"/>
              <a:cs typeface="Arial"/>
            </a:rPr>
            <a:t>Tabella 15 </a:t>
          </a:r>
          <a:r>
            <a:rPr lang="it-IT" sz="1600" b="1" i="0" strike="noStrike">
              <a:solidFill>
                <a:srgbClr val="000000"/>
              </a:solidFill>
              <a:latin typeface="Arial" pitchFamily="34" charset="0"/>
              <a:cs typeface="Arial" pitchFamily="34" charset="0"/>
            </a:rPr>
            <a:t>- </a:t>
          </a:r>
          <a:r>
            <a:rPr lang="it-IT" sz="1600" b="0" i="0">
              <a:latin typeface="Arial" pitchFamily="34" charset="0"/>
              <a:ea typeface="+mn-ea"/>
              <a:cs typeface="Arial" pitchFamily="34" charset="0"/>
            </a:rPr>
            <a:t>Fondi per il trattamento accessorio	</a:t>
          </a:r>
          <a:r>
            <a:rPr lang="it-IT" sz="1600" b="1" i="0" strike="noStrike">
              <a:solidFill>
                <a:srgbClr val="000000"/>
              </a:solidFill>
              <a:latin typeface="Arial"/>
              <a:cs typeface="Arial"/>
            </a:rPr>
            <a:t>Macrocategoria: PERSONALE NON DIRIGENTE</a:t>
          </a:r>
        </a:p>
      </xdr:txBody>
    </xdr:sp>
    <xdr:clientData/>
  </xdr:twoCellAnchor>
  <xdr:twoCellAnchor>
    <xdr:from>
      <xdr:col>0</xdr:col>
      <xdr:colOff>0</xdr:colOff>
      <xdr:row>2</xdr:row>
      <xdr:rowOff>0</xdr:rowOff>
    </xdr:from>
    <xdr:to>
      <xdr:col>5</xdr:col>
      <xdr:colOff>0</xdr:colOff>
      <xdr:row>3</xdr:row>
      <xdr:rowOff>0</xdr:rowOff>
    </xdr:to>
    <xdr:sp macro="" textlink="">
      <xdr:nvSpPr>
        <xdr:cNvPr id="4" name="Testo 3">
          <a:extLst>
            <a:ext uri="{FF2B5EF4-FFF2-40B4-BE49-F238E27FC236}">
              <a16:creationId xmlns:a16="http://schemas.microsoft.com/office/drawing/2014/main" id="{00000000-0008-0000-1600-000004000000}"/>
            </a:ext>
          </a:extLst>
        </xdr:cNvPr>
        <xdr:cNvSpPr txBox="1">
          <a:spLocks noChangeArrowheads="1"/>
        </xdr:cNvSpPr>
      </xdr:nvSpPr>
      <xdr:spPr bwMode="auto">
        <a:xfrm>
          <a:off x="0" y="742950"/>
          <a:ext cx="9486900" cy="561975"/>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ctr" anchorCtr="0" upright="1"/>
        <a:lstStyle/>
        <a:p>
          <a:pPr algn="l" rtl="0">
            <a:defRPr sz="1000"/>
          </a:pPr>
          <a:r>
            <a:rPr lang="it-IT" sz="1600" b="1" i="0" strike="noStrike">
              <a:solidFill>
                <a:srgbClr val="000000"/>
              </a:solidFill>
              <a:latin typeface="Arial"/>
              <a:cs typeface="Arial"/>
            </a:rPr>
            <a:t>Tabella 15 </a:t>
          </a:r>
          <a:r>
            <a:rPr lang="it-IT" sz="1600" b="1" i="0" strike="noStrike">
              <a:solidFill>
                <a:srgbClr val="000000"/>
              </a:solidFill>
              <a:latin typeface="Arial" pitchFamily="34" charset="0"/>
              <a:cs typeface="Arial" pitchFamily="34" charset="0"/>
            </a:rPr>
            <a:t>- </a:t>
          </a:r>
          <a:r>
            <a:rPr lang="it-IT" sz="1600" b="0" i="0">
              <a:latin typeface="Arial" pitchFamily="34" charset="0"/>
              <a:ea typeface="+mn-ea"/>
              <a:cs typeface="Arial" pitchFamily="34" charset="0"/>
            </a:rPr>
            <a:t>Fondi per il trattamento accessorio	</a:t>
          </a:r>
          <a:r>
            <a:rPr lang="it-IT" sz="1600" b="1" i="0" strike="noStrike">
              <a:solidFill>
                <a:srgbClr val="000000"/>
              </a:solidFill>
              <a:latin typeface="Arial"/>
              <a:cs typeface="Arial"/>
            </a:rPr>
            <a:t>Macrocategoria: PERSONALE NON DIRIGENTE</a:t>
          </a:r>
        </a:p>
      </xdr:txBody>
    </xdr:sp>
    <xdr:clientData/>
  </xdr:twoCellAnchor>
  <xdr:twoCellAnchor>
    <xdr:from>
      <xdr:col>0</xdr:col>
      <xdr:colOff>0</xdr:colOff>
      <xdr:row>2</xdr:row>
      <xdr:rowOff>0</xdr:rowOff>
    </xdr:from>
    <xdr:to>
      <xdr:col>5</xdr:col>
      <xdr:colOff>0</xdr:colOff>
      <xdr:row>3</xdr:row>
      <xdr:rowOff>0</xdr:rowOff>
    </xdr:to>
    <xdr:sp macro="" textlink="">
      <xdr:nvSpPr>
        <xdr:cNvPr id="5" name="Testo 3">
          <a:extLst>
            <a:ext uri="{FF2B5EF4-FFF2-40B4-BE49-F238E27FC236}">
              <a16:creationId xmlns:a16="http://schemas.microsoft.com/office/drawing/2014/main" id="{00000000-0008-0000-1600-000005000000}"/>
            </a:ext>
          </a:extLst>
        </xdr:cNvPr>
        <xdr:cNvSpPr txBox="1">
          <a:spLocks noChangeArrowheads="1"/>
        </xdr:cNvSpPr>
      </xdr:nvSpPr>
      <xdr:spPr bwMode="auto">
        <a:xfrm>
          <a:off x="0" y="742950"/>
          <a:ext cx="9486900" cy="561975"/>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ctr" anchorCtr="0" upright="1"/>
        <a:lstStyle/>
        <a:p>
          <a:pPr algn="l" rtl="0">
            <a:defRPr sz="1000"/>
          </a:pPr>
          <a:r>
            <a:rPr lang="it-IT" sz="1600" b="1" i="0" strike="noStrike">
              <a:solidFill>
                <a:srgbClr val="000000"/>
              </a:solidFill>
              <a:latin typeface="Arial"/>
              <a:cs typeface="Arial"/>
            </a:rPr>
            <a:t>Tabella 15 </a:t>
          </a:r>
          <a:r>
            <a:rPr lang="it-IT" sz="1600" b="1" i="0" strike="noStrike">
              <a:solidFill>
                <a:srgbClr val="000000"/>
              </a:solidFill>
              <a:latin typeface="Arial" pitchFamily="34" charset="0"/>
              <a:cs typeface="Arial" pitchFamily="34" charset="0"/>
            </a:rPr>
            <a:t>- </a:t>
          </a:r>
          <a:r>
            <a:rPr lang="it-IT" sz="1600" b="0" i="0">
              <a:latin typeface="Arial" pitchFamily="34" charset="0"/>
              <a:ea typeface="+mn-ea"/>
              <a:cs typeface="Arial" pitchFamily="34" charset="0"/>
            </a:rPr>
            <a:t>Fondi per il trattamento accessorio	</a:t>
          </a:r>
          <a:r>
            <a:rPr lang="it-IT" sz="1600" b="1" i="0" strike="noStrike">
              <a:solidFill>
                <a:srgbClr val="000000"/>
              </a:solidFill>
              <a:latin typeface="Arial"/>
              <a:cs typeface="Arial"/>
            </a:rPr>
            <a:t>Macrocategoria: PERSONALE NON DIRIGENTE</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0</xdr:col>
      <xdr:colOff>0</xdr:colOff>
      <xdr:row>1</xdr:row>
      <xdr:rowOff>23495</xdr:rowOff>
    </xdr:from>
    <xdr:to>
      <xdr:col>0</xdr:col>
      <xdr:colOff>4342187</xdr:colOff>
      <xdr:row>1</xdr:row>
      <xdr:rowOff>252095</xdr:rowOff>
    </xdr:to>
    <xdr:sp macro="" textlink="">
      <xdr:nvSpPr>
        <xdr:cNvPr id="2" name="Testo 4">
          <a:extLst>
            <a:ext uri="{FF2B5EF4-FFF2-40B4-BE49-F238E27FC236}">
              <a16:creationId xmlns:a16="http://schemas.microsoft.com/office/drawing/2014/main" id="{00000000-0008-0000-1C00-000002000000}"/>
            </a:ext>
          </a:extLst>
        </xdr:cNvPr>
        <xdr:cNvSpPr txBox="1">
          <a:spLocks noChangeArrowheads="1"/>
        </xdr:cNvSpPr>
      </xdr:nvSpPr>
      <xdr:spPr bwMode="auto">
        <a:xfrm>
          <a:off x="0" y="590550"/>
          <a:ext cx="4658836" cy="228600"/>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t" upright="1"/>
        <a:lstStyle/>
        <a:p>
          <a:pPr algn="l" rtl="0">
            <a:defRPr sz="1000"/>
          </a:pPr>
          <a:r>
            <a:rPr lang="it-IT" sz="1200" b="1" i="0" strike="noStrike">
              <a:solidFill>
                <a:srgbClr val="000000"/>
              </a:solidFill>
              <a:latin typeface="Arial"/>
              <a:cs typeface="Arial"/>
            </a:rPr>
            <a:t>TABELLA RICONCILIAZIONE</a:t>
          </a:r>
          <a:endParaRPr lang="it-IT" sz="1000" b="0" i="0" strike="noStrike">
            <a:solidFill>
              <a:srgbClr val="000000"/>
            </a:solidFill>
            <a:latin typeface="Arial"/>
            <a:cs typeface="Arial"/>
          </a:endParaRP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10</xdr:col>
      <xdr:colOff>0</xdr:colOff>
      <xdr:row>0</xdr:row>
      <xdr:rowOff>0</xdr:rowOff>
    </xdr:from>
    <xdr:to>
      <xdr:col>10</xdr:col>
      <xdr:colOff>0</xdr:colOff>
      <xdr:row>0</xdr:row>
      <xdr:rowOff>0</xdr:rowOff>
    </xdr:to>
    <xdr:sp macro="" textlink="">
      <xdr:nvSpPr>
        <xdr:cNvPr id="47105" name="Testo 4">
          <a:extLst>
            <a:ext uri="{FF2B5EF4-FFF2-40B4-BE49-F238E27FC236}">
              <a16:creationId xmlns:a16="http://schemas.microsoft.com/office/drawing/2014/main" id="{00000000-0008-0000-1E00-000001B80000}"/>
            </a:ext>
          </a:extLst>
        </xdr:cNvPr>
        <xdr:cNvSpPr txBox="1">
          <a:spLocks noChangeArrowheads="1"/>
        </xdr:cNvSpPr>
      </xdr:nvSpPr>
      <xdr:spPr bwMode="auto">
        <a:xfrm>
          <a:off x="8924925" y="0"/>
          <a:ext cx="0" cy="0"/>
        </a:xfrm>
        <a:prstGeom prst="rect">
          <a:avLst/>
        </a:prstGeom>
        <a:noFill/>
        <a:ln w="9525">
          <a:solidFill>
            <a:srgbClr val="000000"/>
          </a:solidFill>
          <a:miter lim="800000"/>
          <a:headEnd/>
          <a:tailEnd/>
        </a:ln>
        <a:effectLst>
          <a:outerShdw dist="35921" dir="2700000" algn="ctr" rotWithShape="0">
            <a:srgbClr val="000000"/>
          </a:outerShdw>
        </a:effectLst>
      </xdr:spPr>
      <xdr:txBody>
        <a:bodyPr vertOverflow="clip" wrap="square" lIns="27432" tIns="22860" rIns="27432" bIns="22860" anchor="ctr" upright="1"/>
        <a:lstStyle/>
        <a:p>
          <a:pPr algn="ctr" rtl="0">
            <a:defRPr sz="1000"/>
          </a:pPr>
          <a:r>
            <a:rPr lang="it-IT" sz="1000" b="1" i="0" strike="noStrike">
              <a:solidFill>
                <a:srgbClr val="000000"/>
              </a:solidFill>
              <a:latin typeface="Arial"/>
              <a:cs typeface="Arial"/>
            </a:rPr>
            <a:t>Anno 2004</a:t>
          </a:r>
        </a:p>
      </xdr:txBody>
    </xdr:sp>
    <xdr:clientData/>
  </xdr:twoCellAnchor>
  <xdr:twoCellAnchor>
    <xdr:from>
      <xdr:col>10</xdr:col>
      <xdr:colOff>0</xdr:colOff>
      <xdr:row>0</xdr:row>
      <xdr:rowOff>0</xdr:rowOff>
    </xdr:from>
    <xdr:to>
      <xdr:col>10</xdr:col>
      <xdr:colOff>0</xdr:colOff>
      <xdr:row>0</xdr:row>
      <xdr:rowOff>0</xdr:rowOff>
    </xdr:to>
    <xdr:sp macro="" textlink="">
      <xdr:nvSpPr>
        <xdr:cNvPr id="47108" name="Testo 2">
          <a:extLst>
            <a:ext uri="{FF2B5EF4-FFF2-40B4-BE49-F238E27FC236}">
              <a16:creationId xmlns:a16="http://schemas.microsoft.com/office/drawing/2014/main" id="{00000000-0008-0000-1E00-000004B80000}"/>
            </a:ext>
          </a:extLst>
        </xdr:cNvPr>
        <xdr:cNvSpPr>
          <a:spLocks noChangeArrowheads="1"/>
        </xdr:cNvSpPr>
      </xdr:nvSpPr>
      <xdr:spPr bwMode="auto">
        <a:xfrm>
          <a:off x="8924925" y="0"/>
          <a:ext cx="0" cy="0"/>
        </a:xfrm>
        <a:prstGeom prst="roundRect">
          <a:avLst>
            <a:gd name="adj" fmla="val 16667"/>
          </a:avLst>
        </a:prstGeom>
        <a:solidFill>
          <a:srgbClr val="FFFFFF"/>
        </a:solidFill>
        <a:ln w="9525">
          <a:solidFill>
            <a:srgbClr val="000000"/>
          </a:solidFill>
          <a:round/>
          <a:headEnd/>
          <a:tailEnd/>
        </a:ln>
        <a:effectLst>
          <a:outerShdw dist="35921" dir="2700000" algn="ctr" rotWithShape="0">
            <a:srgbClr val="000000"/>
          </a:outerShdw>
        </a:effectLst>
      </xdr:spPr>
      <xdr:txBody>
        <a:bodyPr vertOverflow="clip" wrap="square" lIns="27432" tIns="22860" rIns="0" bIns="22860" anchor="ctr" upright="1"/>
        <a:lstStyle/>
        <a:p>
          <a:pPr algn="l" rtl="0">
            <a:defRPr sz="1000"/>
          </a:pPr>
          <a:r>
            <a:rPr lang="it-IT" sz="800" b="1" i="0" strike="noStrike">
              <a:solidFill>
                <a:srgbClr val="000000"/>
              </a:solidFill>
              <a:latin typeface="Arial"/>
              <a:cs typeface="Arial"/>
            </a:rPr>
            <a:t>ISTITUZIONE......................................</a:t>
          </a:r>
        </a:p>
      </xdr:txBody>
    </xdr:sp>
    <xdr:clientData/>
  </xdr:twoCellAnchor>
</xdr:wsDr>
</file>

<file path=xl/drawings/drawing26.xml><?xml version="1.0" encoding="utf-8"?>
<xdr:wsDr xmlns:xdr="http://schemas.openxmlformats.org/drawingml/2006/spreadsheetDrawing" xmlns:a="http://schemas.openxmlformats.org/drawingml/2006/main">
  <xdr:twoCellAnchor>
    <xdr:from>
      <xdr:col>16</xdr:col>
      <xdr:colOff>0</xdr:colOff>
      <xdr:row>0</xdr:row>
      <xdr:rowOff>0</xdr:rowOff>
    </xdr:from>
    <xdr:to>
      <xdr:col>16</xdr:col>
      <xdr:colOff>0</xdr:colOff>
      <xdr:row>0</xdr:row>
      <xdr:rowOff>0</xdr:rowOff>
    </xdr:to>
    <xdr:sp macro="" textlink="">
      <xdr:nvSpPr>
        <xdr:cNvPr id="48129" name="Testo 4">
          <a:extLst>
            <a:ext uri="{FF2B5EF4-FFF2-40B4-BE49-F238E27FC236}">
              <a16:creationId xmlns:a16="http://schemas.microsoft.com/office/drawing/2014/main" id="{00000000-0008-0000-2000-000001BC0000}"/>
            </a:ext>
          </a:extLst>
        </xdr:cNvPr>
        <xdr:cNvSpPr txBox="1">
          <a:spLocks noChangeArrowheads="1"/>
        </xdr:cNvSpPr>
      </xdr:nvSpPr>
      <xdr:spPr bwMode="auto">
        <a:xfrm>
          <a:off x="11458575" y="0"/>
          <a:ext cx="0" cy="0"/>
        </a:xfrm>
        <a:prstGeom prst="rect">
          <a:avLst/>
        </a:prstGeom>
        <a:noFill/>
        <a:ln w="9525">
          <a:solidFill>
            <a:srgbClr val="000000"/>
          </a:solidFill>
          <a:miter lim="800000"/>
          <a:headEnd/>
          <a:tailEnd/>
        </a:ln>
        <a:effectLst>
          <a:outerShdw dist="35921" dir="2700000" algn="ctr" rotWithShape="0">
            <a:srgbClr val="000000"/>
          </a:outerShdw>
        </a:effectLst>
      </xdr:spPr>
      <xdr:txBody>
        <a:bodyPr vertOverflow="clip" wrap="square" lIns="27432" tIns="22860" rIns="27432" bIns="22860" anchor="ctr" upright="1"/>
        <a:lstStyle/>
        <a:p>
          <a:pPr algn="ctr" rtl="0">
            <a:defRPr sz="1000"/>
          </a:pPr>
          <a:r>
            <a:rPr lang="it-IT" sz="1000" b="1" i="0" strike="noStrike">
              <a:solidFill>
                <a:srgbClr val="000000"/>
              </a:solidFill>
              <a:latin typeface="Arial"/>
              <a:cs typeface="Arial"/>
            </a:rPr>
            <a:t>Anno 2004</a:t>
          </a:r>
        </a:p>
      </xdr:txBody>
    </xdr:sp>
    <xdr:clientData/>
  </xdr:twoCellAnchor>
  <xdr:twoCellAnchor>
    <xdr:from>
      <xdr:col>16</xdr:col>
      <xdr:colOff>0</xdr:colOff>
      <xdr:row>0</xdr:row>
      <xdr:rowOff>0</xdr:rowOff>
    </xdr:from>
    <xdr:to>
      <xdr:col>16</xdr:col>
      <xdr:colOff>0</xdr:colOff>
      <xdr:row>0</xdr:row>
      <xdr:rowOff>0</xdr:rowOff>
    </xdr:to>
    <xdr:sp macro="" textlink="">
      <xdr:nvSpPr>
        <xdr:cNvPr id="48132" name="Testo 2">
          <a:extLst>
            <a:ext uri="{FF2B5EF4-FFF2-40B4-BE49-F238E27FC236}">
              <a16:creationId xmlns:a16="http://schemas.microsoft.com/office/drawing/2014/main" id="{00000000-0008-0000-2000-000004BC0000}"/>
            </a:ext>
          </a:extLst>
        </xdr:cNvPr>
        <xdr:cNvSpPr>
          <a:spLocks noChangeArrowheads="1"/>
        </xdr:cNvSpPr>
      </xdr:nvSpPr>
      <xdr:spPr bwMode="auto">
        <a:xfrm>
          <a:off x="11458575" y="0"/>
          <a:ext cx="0" cy="0"/>
        </a:xfrm>
        <a:prstGeom prst="roundRect">
          <a:avLst>
            <a:gd name="adj" fmla="val 16667"/>
          </a:avLst>
        </a:prstGeom>
        <a:solidFill>
          <a:srgbClr val="FFFFFF"/>
        </a:solidFill>
        <a:ln w="9525">
          <a:solidFill>
            <a:srgbClr val="000000"/>
          </a:solidFill>
          <a:round/>
          <a:headEnd/>
          <a:tailEnd/>
        </a:ln>
        <a:effectLst>
          <a:outerShdw dist="35921" dir="2700000" algn="ctr" rotWithShape="0">
            <a:srgbClr val="000000"/>
          </a:outerShdw>
        </a:effectLst>
      </xdr:spPr>
      <xdr:txBody>
        <a:bodyPr vertOverflow="clip" wrap="square" lIns="27432" tIns="22860" rIns="0" bIns="22860" anchor="ctr" upright="1"/>
        <a:lstStyle/>
        <a:p>
          <a:pPr algn="l" rtl="0">
            <a:defRPr sz="1000"/>
          </a:pPr>
          <a:r>
            <a:rPr lang="it-IT" sz="800" b="1" i="0" strike="noStrike">
              <a:solidFill>
                <a:srgbClr val="000000"/>
              </a:solidFill>
              <a:latin typeface="Arial"/>
              <a:cs typeface="Arial"/>
            </a:rPr>
            <a:t>ISTITUZIONE......................................</a:t>
          </a:r>
        </a:p>
      </xdr:txBody>
    </xdr:sp>
    <xdr:clientData/>
  </xdr:twoCellAnchor>
</xdr:wsDr>
</file>

<file path=xl/drawings/drawing27.xml><?xml version="1.0" encoding="utf-8"?>
<xdr:wsDr xmlns:xdr="http://schemas.openxmlformats.org/drawingml/2006/spreadsheetDrawing" xmlns:a="http://schemas.openxmlformats.org/drawingml/2006/main">
  <xdr:twoCellAnchor>
    <xdr:from>
      <xdr:col>7</xdr:col>
      <xdr:colOff>0</xdr:colOff>
      <xdr:row>0</xdr:row>
      <xdr:rowOff>0</xdr:rowOff>
    </xdr:from>
    <xdr:to>
      <xdr:col>7</xdr:col>
      <xdr:colOff>0</xdr:colOff>
      <xdr:row>0</xdr:row>
      <xdr:rowOff>0</xdr:rowOff>
    </xdr:to>
    <xdr:sp macro="" textlink="">
      <xdr:nvSpPr>
        <xdr:cNvPr id="49153" name="Testo 4">
          <a:extLst>
            <a:ext uri="{FF2B5EF4-FFF2-40B4-BE49-F238E27FC236}">
              <a16:creationId xmlns:a16="http://schemas.microsoft.com/office/drawing/2014/main" id="{00000000-0008-0000-2100-000001C00000}"/>
            </a:ext>
          </a:extLst>
        </xdr:cNvPr>
        <xdr:cNvSpPr txBox="1">
          <a:spLocks noChangeArrowheads="1"/>
        </xdr:cNvSpPr>
      </xdr:nvSpPr>
      <xdr:spPr bwMode="auto">
        <a:xfrm>
          <a:off x="7458075" y="0"/>
          <a:ext cx="0" cy="0"/>
        </a:xfrm>
        <a:prstGeom prst="rect">
          <a:avLst/>
        </a:prstGeom>
        <a:noFill/>
        <a:ln w="9525">
          <a:solidFill>
            <a:srgbClr val="000000"/>
          </a:solidFill>
          <a:miter lim="800000"/>
          <a:headEnd/>
          <a:tailEnd/>
        </a:ln>
        <a:effectLst>
          <a:outerShdw dist="35921" dir="2700000" algn="ctr" rotWithShape="0">
            <a:srgbClr val="000000"/>
          </a:outerShdw>
        </a:effectLst>
      </xdr:spPr>
      <xdr:txBody>
        <a:bodyPr vertOverflow="clip" wrap="square" lIns="27432" tIns="22860" rIns="27432" bIns="22860" anchor="ctr" upright="1"/>
        <a:lstStyle/>
        <a:p>
          <a:pPr algn="ctr" rtl="0">
            <a:defRPr sz="1000"/>
          </a:pPr>
          <a:r>
            <a:rPr lang="it-IT" sz="1000" b="1" i="0" strike="noStrike">
              <a:solidFill>
                <a:srgbClr val="000000"/>
              </a:solidFill>
              <a:latin typeface="Arial"/>
              <a:cs typeface="Arial"/>
            </a:rPr>
            <a:t>Anno 2004</a:t>
          </a:r>
        </a:p>
      </xdr:txBody>
    </xdr:sp>
    <xdr:clientData/>
  </xdr:twoCellAnchor>
  <xdr:twoCellAnchor>
    <xdr:from>
      <xdr:col>7</xdr:col>
      <xdr:colOff>0</xdr:colOff>
      <xdr:row>0</xdr:row>
      <xdr:rowOff>0</xdr:rowOff>
    </xdr:from>
    <xdr:to>
      <xdr:col>7</xdr:col>
      <xdr:colOff>0</xdr:colOff>
      <xdr:row>0</xdr:row>
      <xdr:rowOff>0</xdr:rowOff>
    </xdr:to>
    <xdr:sp macro="" textlink="">
      <xdr:nvSpPr>
        <xdr:cNvPr id="49156" name="Testo 2">
          <a:extLst>
            <a:ext uri="{FF2B5EF4-FFF2-40B4-BE49-F238E27FC236}">
              <a16:creationId xmlns:a16="http://schemas.microsoft.com/office/drawing/2014/main" id="{00000000-0008-0000-2100-000004C00000}"/>
            </a:ext>
          </a:extLst>
        </xdr:cNvPr>
        <xdr:cNvSpPr>
          <a:spLocks noChangeArrowheads="1"/>
        </xdr:cNvSpPr>
      </xdr:nvSpPr>
      <xdr:spPr bwMode="auto">
        <a:xfrm>
          <a:off x="7458075" y="0"/>
          <a:ext cx="0" cy="0"/>
        </a:xfrm>
        <a:prstGeom prst="roundRect">
          <a:avLst>
            <a:gd name="adj" fmla="val 16667"/>
          </a:avLst>
        </a:prstGeom>
        <a:solidFill>
          <a:srgbClr val="FFFFFF"/>
        </a:solidFill>
        <a:ln w="9525">
          <a:solidFill>
            <a:srgbClr val="000000"/>
          </a:solidFill>
          <a:round/>
          <a:headEnd/>
          <a:tailEnd/>
        </a:ln>
        <a:effectLst>
          <a:outerShdw dist="35921" dir="2700000" algn="ctr" rotWithShape="0">
            <a:srgbClr val="000000"/>
          </a:outerShdw>
        </a:effectLst>
      </xdr:spPr>
      <xdr:txBody>
        <a:bodyPr vertOverflow="clip" wrap="square" lIns="27432" tIns="22860" rIns="0" bIns="22860" anchor="ctr" upright="1"/>
        <a:lstStyle/>
        <a:p>
          <a:pPr algn="l" rtl="0">
            <a:defRPr sz="1000"/>
          </a:pPr>
          <a:r>
            <a:rPr lang="it-IT" sz="800" b="1" i="0" strike="noStrike">
              <a:solidFill>
                <a:srgbClr val="000000"/>
              </a:solidFill>
              <a:latin typeface="Arial"/>
              <a:cs typeface="Arial"/>
            </a:rPr>
            <a:t>ISTITUZIONE......................................</a:t>
          </a:r>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8</xdr:col>
      <xdr:colOff>0</xdr:colOff>
      <xdr:row>0</xdr:row>
      <xdr:rowOff>0</xdr:rowOff>
    </xdr:from>
    <xdr:to>
      <xdr:col>8</xdr:col>
      <xdr:colOff>0</xdr:colOff>
      <xdr:row>0</xdr:row>
      <xdr:rowOff>0</xdr:rowOff>
    </xdr:to>
    <xdr:sp macro="" textlink="">
      <xdr:nvSpPr>
        <xdr:cNvPr id="2" name="Testo 4">
          <a:extLst>
            <a:ext uri="{FF2B5EF4-FFF2-40B4-BE49-F238E27FC236}">
              <a16:creationId xmlns:a16="http://schemas.microsoft.com/office/drawing/2014/main" id="{00000000-0008-0000-2200-000002000000}"/>
            </a:ext>
          </a:extLst>
        </xdr:cNvPr>
        <xdr:cNvSpPr txBox="1">
          <a:spLocks noChangeArrowheads="1"/>
        </xdr:cNvSpPr>
      </xdr:nvSpPr>
      <xdr:spPr bwMode="auto">
        <a:xfrm>
          <a:off x="10410825" y="0"/>
          <a:ext cx="0" cy="0"/>
        </a:xfrm>
        <a:prstGeom prst="rect">
          <a:avLst/>
        </a:prstGeom>
        <a:noFill/>
        <a:ln w="9525">
          <a:solidFill>
            <a:srgbClr val="000000"/>
          </a:solidFill>
          <a:miter lim="800000"/>
          <a:headEnd/>
          <a:tailEnd/>
        </a:ln>
        <a:effectLst>
          <a:outerShdw dist="35921" dir="2700000" algn="ctr" rotWithShape="0">
            <a:srgbClr val="000000"/>
          </a:outerShdw>
        </a:effectLst>
      </xdr:spPr>
      <xdr:txBody>
        <a:bodyPr vertOverflow="clip" wrap="square" lIns="27432" tIns="22860" rIns="27432" bIns="22860" anchor="ctr" upright="1"/>
        <a:lstStyle/>
        <a:p>
          <a:pPr algn="ctr" rtl="0">
            <a:defRPr sz="1000"/>
          </a:pPr>
          <a:r>
            <a:rPr lang="it-IT" sz="1000" b="1" i="0" strike="noStrike">
              <a:solidFill>
                <a:srgbClr val="000000"/>
              </a:solidFill>
              <a:latin typeface="Arial"/>
              <a:cs typeface="Arial"/>
            </a:rPr>
            <a:t>Anno 2004</a:t>
          </a:r>
        </a:p>
      </xdr:txBody>
    </xdr:sp>
    <xdr:clientData/>
  </xdr:twoCellAnchor>
  <xdr:twoCellAnchor>
    <xdr:from>
      <xdr:col>8</xdr:col>
      <xdr:colOff>0</xdr:colOff>
      <xdr:row>0</xdr:row>
      <xdr:rowOff>0</xdr:rowOff>
    </xdr:from>
    <xdr:to>
      <xdr:col>8</xdr:col>
      <xdr:colOff>0</xdr:colOff>
      <xdr:row>0</xdr:row>
      <xdr:rowOff>0</xdr:rowOff>
    </xdr:to>
    <xdr:sp macro="" textlink="">
      <xdr:nvSpPr>
        <xdr:cNvPr id="3" name="Testo 2">
          <a:extLst>
            <a:ext uri="{FF2B5EF4-FFF2-40B4-BE49-F238E27FC236}">
              <a16:creationId xmlns:a16="http://schemas.microsoft.com/office/drawing/2014/main" id="{00000000-0008-0000-2200-000003000000}"/>
            </a:ext>
          </a:extLst>
        </xdr:cNvPr>
        <xdr:cNvSpPr>
          <a:spLocks noChangeArrowheads="1"/>
        </xdr:cNvSpPr>
      </xdr:nvSpPr>
      <xdr:spPr bwMode="auto">
        <a:xfrm>
          <a:off x="10410825" y="0"/>
          <a:ext cx="0" cy="0"/>
        </a:xfrm>
        <a:prstGeom prst="roundRect">
          <a:avLst>
            <a:gd name="adj" fmla="val 16667"/>
          </a:avLst>
        </a:prstGeom>
        <a:solidFill>
          <a:srgbClr val="FFFFFF"/>
        </a:solidFill>
        <a:ln w="9525">
          <a:solidFill>
            <a:srgbClr val="000000"/>
          </a:solidFill>
          <a:round/>
          <a:headEnd/>
          <a:tailEnd/>
        </a:ln>
        <a:effectLst>
          <a:outerShdw dist="35921" dir="2700000" algn="ctr" rotWithShape="0">
            <a:srgbClr val="000000"/>
          </a:outerShdw>
        </a:effectLst>
      </xdr:spPr>
      <xdr:txBody>
        <a:bodyPr vertOverflow="clip" wrap="square" lIns="27432" tIns="22860" rIns="0" bIns="22860" anchor="ctr" upright="1"/>
        <a:lstStyle/>
        <a:p>
          <a:pPr algn="l" rtl="0">
            <a:defRPr sz="1000"/>
          </a:pPr>
          <a:r>
            <a:rPr lang="it-IT" sz="800" b="1" i="0" strike="noStrike">
              <a:solidFill>
                <a:srgbClr val="000000"/>
              </a:solidFill>
              <a:latin typeface="Arial"/>
              <a:cs typeface="Arial"/>
            </a:rPr>
            <a:t>ISTITUZIONE......................................</a:t>
          </a:r>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51201" name="Testo 4">
          <a:extLst>
            <a:ext uri="{FF2B5EF4-FFF2-40B4-BE49-F238E27FC236}">
              <a16:creationId xmlns:a16="http://schemas.microsoft.com/office/drawing/2014/main" id="{00000000-0008-0000-2300-000001C80000}"/>
            </a:ext>
          </a:extLst>
        </xdr:cNvPr>
        <xdr:cNvSpPr txBox="1">
          <a:spLocks noChangeArrowheads="1"/>
        </xdr:cNvSpPr>
      </xdr:nvSpPr>
      <xdr:spPr bwMode="auto">
        <a:xfrm>
          <a:off x="6305550" y="0"/>
          <a:ext cx="0" cy="0"/>
        </a:xfrm>
        <a:prstGeom prst="rect">
          <a:avLst/>
        </a:prstGeom>
        <a:noFill/>
        <a:ln w="9525">
          <a:solidFill>
            <a:srgbClr val="000000"/>
          </a:solidFill>
          <a:miter lim="800000"/>
          <a:headEnd/>
          <a:tailEnd/>
        </a:ln>
        <a:effectLst>
          <a:outerShdw dist="35921" dir="2700000" algn="ctr" rotWithShape="0">
            <a:srgbClr val="000000"/>
          </a:outerShdw>
        </a:effectLst>
      </xdr:spPr>
      <xdr:txBody>
        <a:bodyPr vertOverflow="clip" wrap="square" lIns="27432" tIns="22860" rIns="27432" bIns="22860" anchor="ctr" upright="1"/>
        <a:lstStyle/>
        <a:p>
          <a:pPr algn="ctr" rtl="0">
            <a:defRPr sz="1000"/>
          </a:pPr>
          <a:r>
            <a:rPr lang="it-IT" sz="1000" b="1" i="0" strike="noStrike">
              <a:solidFill>
                <a:srgbClr val="000000"/>
              </a:solidFill>
              <a:latin typeface="Arial"/>
              <a:cs typeface="Arial"/>
            </a:rPr>
            <a:t>Anno 2004</a:t>
          </a:r>
        </a:p>
        <a:p>
          <a:pPr algn="ctr" rtl="0">
            <a:defRPr sz="1000"/>
          </a:pPr>
          <a:endParaRPr lang="it-IT" sz="1000" b="1" i="0" strike="noStrike">
            <a:solidFill>
              <a:srgbClr val="000000"/>
            </a:solidFill>
            <a:latin typeface="Arial"/>
            <a:cs typeface="Arial"/>
          </a:endParaRPr>
        </a:p>
      </xdr:txBody>
    </xdr:sp>
    <xdr:clientData/>
  </xdr:twoCellAnchor>
  <xdr:twoCellAnchor>
    <xdr:from>
      <xdr:col>4</xdr:col>
      <xdr:colOff>0</xdr:colOff>
      <xdr:row>0</xdr:row>
      <xdr:rowOff>0</xdr:rowOff>
    </xdr:from>
    <xdr:to>
      <xdr:col>4</xdr:col>
      <xdr:colOff>0</xdr:colOff>
      <xdr:row>0</xdr:row>
      <xdr:rowOff>0</xdr:rowOff>
    </xdr:to>
    <xdr:sp macro="" textlink="">
      <xdr:nvSpPr>
        <xdr:cNvPr id="51204" name="Testo 2">
          <a:extLst>
            <a:ext uri="{FF2B5EF4-FFF2-40B4-BE49-F238E27FC236}">
              <a16:creationId xmlns:a16="http://schemas.microsoft.com/office/drawing/2014/main" id="{00000000-0008-0000-2300-000004C80000}"/>
            </a:ext>
          </a:extLst>
        </xdr:cNvPr>
        <xdr:cNvSpPr>
          <a:spLocks noChangeArrowheads="1"/>
        </xdr:cNvSpPr>
      </xdr:nvSpPr>
      <xdr:spPr bwMode="auto">
        <a:xfrm>
          <a:off x="6305550" y="0"/>
          <a:ext cx="0" cy="0"/>
        </a:xfrm>
        <a:prstGeom prst="roundRect">
          <a:avLst>
            <a:gd name="adj" fmla="val 16667"/>
          </a:avLst>
        </a:prstGeom>
        <a:solidFill>
          <a:srgbClr val="FFFFFF"/>
        </a:solidFill>
        <a:ln w="9525">
          <a:solidFill>
            <a:srgbClr val="000000"/>
          </a:solidFill>
          <a:round/>
          <a:headEnd/>
          <a:tailEnd/>
        </a:ln>
        <a:effectLst>
          <a:outerShdw dist="35921" dir="2700000" algn="ctr" rotWithShape="0">
            <a:srgbClr val="000000"/>
          </a:outerShdw>
        </a:effectLst>
      </xdr:spPr>
      <xdr:txBody>
        <a:bodyPr vertOverflow="clip" wrap="square" lIns="27432" tIns="22860" rIns="0" bIns="22860" anchor="ctr" upright="1"/>
        <a:lstStyle/>
        <a:p>
          <a:pPr algn="l" rtl="0">
            <a:defRPr sz="1000"/>
          </a:pPr>
          <a:r>
            <a:rPr lang="it-IT" sz="800" b="1" i="0" strike="noStrike">
              <a:solidFill>
                <a:srgbClr val="000000"/>
              </a:solidFill>
              <a:latin typeface="Arial"/>
              <a:cs typeface="Arial"/>
            </a:rPr>
            <a:t>ISTITUZIONE......................................</a:t>
          </a: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2" name="Testo 4">
          <a:extLst>
            <a:ext uri="{FF2B5EF4-FFF2-40B4-BE49-F238E27FC236}">
              <a16:creationId xmlns:a16="http://schemas.microsoft.com/office/drawing/2014/main" id="{00000000-0008-0000-2C00-000002000000}"/>
            </a:ext>
          </a:extLst>
        </xdr:cNvPr>
        <xdr:cNvSpPr txBox="1">
          <a:spLocks noChangeArrowheads="1"/>
        </xdr:cNvSpPr>
      </xdr:nvSpPr>
      <xdr:spPr bwMode="auto">
        <a:xfrm>
          <a:off x="8305800" y="0"/>
          <a:ext cx="0" cy="0"/>
        </a:xfrm>
        <a:prstGeom prst="rect">
          <a:avLst/>
        </a:prstGeom>
        <a:noFill/>
        <a:ln w="9525">
          <a:solidFill>
            <a:srgbClr val="000000"/>
          </a:solidFill>
          <a:miter lim="800000"/>
          <a:headEnd/>
          <a:tailEnd/>
        </a:ln>
        <a:effectLst>
          <a:outerShdw dist="35921" dir="2700000" algn="ctr" rotWithShape="0">
            <a:srgbClr val="000000"/>
          </a:outerShdw>
        </a:effectLst>
      </xdr:spPr>
      <xdr:txBody>
        <a:bodyPr vertOverflow="clip" wrap="square" lIns="27432" tIns="22860" rIns="27432" bIns="22860" anchor="ctr" upright="1"/>
        <a:lstStyle/>
        <a:p>
          <a:pPr algn="ctr" rtl="0">
            <a:defRPr sz="1000"/>
          </a:pPr>
          <a:r>
            <a:rPr lang="it-IT" sz="1000" b="1" i="0" strike="noStrike">
              <a:solidFill>
                <a:srgbClr val="000000"/>
              </a:solidFill>
              <a:latin typeface="Arial"/>
              <a:cs typeface="Arial"/>
            </a:rPr>
            <a:t>Anno 2004</a:t>
          </a:r>
        </a:p>
        <a:p>
          <a:pPr algn="ctr" rtl="0">
            <a:defRPr sz="1000"/>
          </a:pPr>
          <a:endParaRPr lang="it-IT" sz="1000" b="1" i="0" strike="noStrike">
            <a:solidFill>
              <a:srgbClr val="000000"/>
            </a:solidFill>
            <a:latin typeface="Arial"/>
            <a:cs typeface="Arial"/>
          </a:endParaRPr>
        </a:p>
      </xdr:txBody>
    </xdr:sp>
    <xdr:clientData/>
  </xdr:twoCellAnchor>
  <xdr:twoCellAnchor>
    <xdr:from>
      <xdr:col>4</xdr:col>
      <xdr:colOff>0</xdr:colOff>
      <xdr:row>0</xdr:row>
      <xdr:rowOff>0</xdr:rowOff>
    </xdr:from>
    <xdr:to>
      <xdr:col>4</xdr:col>
      <xdr:colOff>0</xdr:colOff>
      <xdr:row>0</xdr:row>
      <xdr:rowOff>0</xdr:rowOff>
    </xdr:to>
    <xdr:sp macro="" textlink="">
      <xdr:nvSpPr>
        <xdr:cNvPr id="3" name="Testo 2">
          <a:extLst>
            <a:ext uri="{FF2B5EF4-FFF2-40B4-BE49-F238E27FC236}">
              <a16:creationId xmlns:a16="http://schemas.microsoft.com/office/drawing/2014/main" id="{00000000-0008-0000-2C00-000003000000}"/>
            </a:ext>
          </a:extLst>
        </xdr:cNvPr>
        <xdr:cNvSpPr>
          <a:spLocks noChangeArrowheads="1"/>
        </xdr:cNvSpPr>
      </xdr:nvSpPr>
      <xdr:spPr bwMode="auto">
        <a:xfrm>
          <a:off x="8305800" y="0"/>
          <a:ext cx="0" cy="0"/>
        </a:xfrm>
        <a:prstGeom prst="roundRect">
          <a:avLst>
            <a:gd name="adj" fmla="val 16667"/>
          </a:avLst>
        </a:prstGeom>
        <a:solidFill>
          <a:srgbClr val="FFFFFF"/>
        </a:solidFill>
        <a:ln w="9525">
          <a:solidFill>
            <a:srgbClr val="000000"/>
          </a:solidFill>
          <a:round/>
          <a:headEnd/>
          <a:tailEnd/>
        </a:ln>
        <a:effectLst>
          <a:outerShdw dist="35921" dir="2700000" algn="ctr" rotWithShape="0">
            <a:srgbClr val="000000"/>
          </a:outerShdw>
        </a:effectLst>
      </xdr:spPr>
      <xdr:txBody>
        <a:bodyPr vertOverflow="clip" wrap="square" lIns="27432" tIns="22860" rIns="0" bIns="22860" anchor="ctr" upright="1"/>
        <a:lstStyle/>
        <a:p>
          <a:pPr algn="l" rtl="0">
            <a:defRPr sz="1000"/>
          </a:pPr>
          <a:r>
            <a:rPr lang="it-IT" sz="800" b="1" i="0" strike="noStrike">
              <a:solidFill>
                <a:srgbClr val="000000"/>
              </a:solidFill>
              <a:latin typeface="Arial"/>
              <a:cs typeface="Arial"/>
            </a:rPr>
            <a:t>ISTITUZIONE......................................</a:t>
          </a: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8</xdr:col>
      <xdr:colOff>0</xdr:colOff>
      <xdr:row>0</xdr:row>
      <xdr:rowOff>0</xdr:rowOff>
    </xdr:from>
    <xdr:to>
      <xdr:col>8</xdr:col>
      <xdr:colOff>0</xdr:colOff>
      <xdr:row>0</xdr:row>
      <xdr:rowOff>0</xdr:rowOff>
    </xdr:to>
    <xdr:sp macro="" textlink="">
      <xdr:nvSpPr>
        <xdr:cNvPr id="2" name="Testo 4">
          <a:extLst>
            <a:ext uri="{FF2B5EF4-FFF2-40B4-BE49-F238E27FC236}">
              <a16:creationId xmlns:a16="http://schemas.microsoft.com/office/drawing/2014/main" id="{00000000-0008-0000-2E00-000002000000}"/>
            </a:ext>
          </a:extLst>
        </xdr:cNvPr>
        <xdr:cNvSpPr txBox="1">
          <a:spLocks noChangeArrowheads="1"/>
        </xdr:cNvSpPr>
      </xdr:nvSpPr>
      <xdr:spPr bwMode="auto">
        <a:xfrm>
          <a:off x="15287625" y="0"/>
          <a:ext cx="0" cy="0"/>
        </a:xfrm>
        <a:prstGeom prst="rect">
          <a:avLst/>
        </a:prstGeom>
        <a:noFill/>
        <a:ln w="9525">
          <a:solidFill>
            <a:srgbClr val="000000"/>
          </a:solidFill>
          <a:miter lim="800000"/>
          <a:headEnd/>
          <a:tailEnd/>
        </a:ln>
        <a:effectLst>
          <a:outerShdw dist="35921" dir="2700000" algn="ctr" rotWithShape="0">
            <a:srgbClr val="000000"/>
          </a:outerShdw>
        </a:effectLst>
      </xdr:spPr>
      <xdr:txBody>
        <a:bodyPr vertOverflow="clip" wrap="square" lIns="27432" tIns="22860" rIns="27432" bIns="22860" anchor="ctr" upright="1"/>
        <a:lstStyle/>
        <a:p>
          <a:pPr algn="ctr" rtl="0">
            <a:defRPr sz="1000"/>
          </a:pPr>
          <a:r>
            <a:rPr lang="it-IT" sz="1000" b="1" i="0" strike="noStrike">
              <a:solidFill>
                <a:srgbClr val="000000"/>
              </a:solidFill>
              <a:latin typeface="Arial"/>
              <a:cs typeface="Arial"/>
            </a:rPr>
            <a:t>Anno 2004</a:t>
          </a:r>
        </a:p>
      </xdr:txBody>
    </xdr:sp>
    <xdr:clientData/>
  </xdr:twoCellAnchor>
  <xdr:twoCellAnchor>
    <xdr:from>
      <xdr:col>8</xdr:col>
      <xdr:colOff>0</xdr:colOff>
      <xdr:row>0</xdr:row>
      <xdr:rowOff>0</xdr:rowOff>
    </xdr:from>
    <xdr:to>
      <xdr:col>8</xdr:col>
      <xdr:colOff>0</xdr:colOff>
      <xdr:row>0</xdr:row>
      <xdr:rowOff>0</xdr:rowOff>
    </xdr:to>
    <xdr:sp macro="" textlink="">
      <xdr:nvSpPr>
        <xdr:cNvPr id="3" name="Testo 2">
          <a:extLst>
            <a:ext uri="{FF2B5EF4-FFF2-40B4-BE49-F238E27FC236}">
              <a16:creationId xmlns:a16="http://schemas.microsoft.com/office/drawing/2014/main" id="{00000000-0008-0000-2E00-000003000000}"/>
            </a:ext>
          </a:extLst>
        </xdr:cNvPr>
        <xdr:cNvSpPr>
          <a:spLocks noChangeArrowheads="1"/>
        </xdr:cNvSpPr>
      </xdr:nvSpPr>
      <xdr:spPr bwMode="auto">
        <a:xfrm>
          <a:off x="15287625" y="0"/>
          <a:ext cx="0" cy="0"/>
        </a:xfrm>
        <a:prstGeom prst="roundRect">
          <a:avLst>
            <a:gd name="adj" fmla="val 16667"/>
          </a:avLst>
        </a:prstGeom>
        <a:solidFill>
          <a:srgbClr val="FFFFFF"/>
        </a:solidFill>
        <a:ln w="9525">
          <a:solidFill>
            <a:srgbClr val="000000"/>
          </a:solidFill>
          <a:round/>
          <a:headEnd/>
          <a:tailEnd/>
        </a:ln>
        <a:effectLst>
          <a:outerShdw dist="35921" dir="2700000" algn="ctr" rotWithShape="0">
            <a:srgbClr val="000000"/>
          </a:outerShdw>
        </a:effectLst>
      </xdr:spPr>
      <xdr:txBody>
        <a:bodyPr vertOverflow="clip" wrap="square" lIns="27432" tIns="22860" rIns="0" bIns="22860" anchor="ctr" upright="1"/>
        <a:lstStyle/>
        <a:p>
          <a:pPr algn="l" rtl="0">
            <a:defRPr sz="1000"/>
          </a:pPr>
          <a:r>
            <a:rPr lang="it-IT" sz="800" b="1" i="0" strike="noStrike">
              <a:solidFill>
                <a:srgbClr val="000000"/>
              </a:solidFill>
              <a:latin typeface="Arial"/>
              <a:cs typeface="Arial"/>
            </a:rPr>
            <a:t>ISTITUZIONE......................................</a:t>
          </a:r>
        </a:p>
      </xdr:txBody>
    </xdr: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no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8.xml"/><Relationship Id="rId1" Type="http://schemas.openxmlformats.org/officeDocument/2006/relationships/printerSettings" Target="../printerSettings/printerSettings18.bin"/><Relationship Id="rId4" Type="http://schemas.openxmlformats.org/officeDocument/2006/relationships/ctrlProp" Target="../ctrlProps/ctrlProp2.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4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oglio18">
    <pageSetUpPr fitToPage="1"/>
  </sheetPr>
  <dimension ref="A1:K368"/>
  <sheetViews>
    <sheetView showGridLines="0" topLeftCell="A195" zoomScale="90" zoomScaleNormal="90" workbookViewId="0">
      <selection activeCell="G100" sqref="G100"/>
    </sheetView>
  </sheetViews>
  <sheetFormatPr defaultColWidth="6.33203125" defaultRowHeight="12.75" x14ac:dyDescent="0.15"/>
  <cols>
    <col min="1" max="1" width="6.6640625" style="319" customWidth="1"/>
    <col min="2" max="2" width="25.6640625" style="337" customWidth="1"/>
    <col min="3" max="3" width="31" style="337" customWidth="1"/>
    <col min="4" max="4" width="20.5" style="337" customWidth="1"/>
    <col min="5" max="5" width="40.6640625" style="337" customWidth="1"/>
    <col min="6" max="6" width="29" style="337" customWidth="1"/>
    <col min="7" max="7" width="26" style="337" customWidth="1"/>
    <col min="8" max="10" width="5.33203125" style="319" hidden="1" customWidth="1"/>
    <col min="11" max="11" width="38.6640625" style="319" customWidth="1"/>
    <col min="12" max="16384" width="6.33203125" style="319"/>
  </cols>
  <sheetData>
    <row r="1" spans="1:11" ht="57.75" customHeight="1" x14ac:dyDescent="0.15">
      <c r="A1" s="439" t="s">
        <v>284</v>
      </c>
    </row>
    <row r="2" spans="1:11" s="320" customFormat="1" ht="20.25" customHeight="1" x14ac:dyDescent="0.15">
      <c r="A2" s="354" t="s">
        <v>408</v>
      </c>
      <c r="B2" s="338"/>
      <c r="C2" s="1403"/>
      <c r="D2" s="1403"/>
      <c r="E2" s="1403"/>
      <c r="F2" s="1403"/>
      <c r="G2" s="338"/>
    </row>
    <row r="3" spans="1:11" s="320" customFormat="1" ht="27" customHeight="1" x14ac:dyDescent="0.15">
      <c r="A3" s="354"/>
      <c r="B3" s="427"/>
      <c r="C3" s="1407" t="str">
        <f>'t1'!A1</f>
        <v>ENTI PUBBLICI NON ECONOMICI - anno 2024</v>
      </c>
      <c r="D3" s="1407"/>
      <c r="E3" s="1407"/>
      <c r="F3" s="1407"/>
      <c r="G3" s="338"/>
    </row>
    <row r="4" spans="1:11" x14ac:dyDescent="0.15">
      <c r="D4" s="605"/>
    </row>
    <row r="5" spans="1:11" x14ac:dyDescent="0.15">
      <c r="E5" s="319"/>
    </row>
    <row r="6" spans="1:11" ht="18" customHeight="1" x14ac:dyDescent="0.15">
      <c r="B6" s="1394" t="s">
        <v>326</v>
      </c>
      <c r="C6" s="1395"/>
      <c r="D6" s="1395"/>
      <c r="E6" s="1395"/>
      <c r="F6" s="1395"/>
      <c r="G6" s="1396"/>
    </row>
    <row r="7" spans="1:11" ht="6" customHeight="1" x14ac:dyDescent="0.15"/>
    <row r="8" spans="1:11" ht="19.5" hidden="1" customHeight="1" x14ac:dyDescent="0.15">
      <c r="A8" s="355"/>
      <c r="B8" s="337" t="s">
        <v>247</v>
      </c>
      <c r="D8" s="339"/>
      <c r="E8" s="1389"/>
      <c r="F8" s="1390"/>
      <c r="G8" s="1391"/>
    </row>
    <row r="9" spans="1:11" ht="29.1" hidden="1" customHeight="1" x14ac:dyDescent="0.15">
      <c r="A9" s="355"/>
      <c r="B9" s="321" t="s">
        <v>248</v>
      </c>
      <c r="C9" s="321"/>
      <c r="D9" s="339"/>
      <c r="E9" s="1404"/>
      <c r="F9" s="1405"/>
      <c r="G9" s="1406"/>
      <c r="K9" s="440"/>
    </row>
    <row r="10" spans="1:11" ht="29.1" customHeight="1" x14ac:dyDescent="0.15">
      <c r="A10" s="355"/>
      <c r="B10" s="321" t="s">
        <v>249</v>
      </c>
      <c r="C10" s="321"/>
      <c r="D10" s="339"/>
      <c r="E10" s="1389" t="s">
        <v>1206</v>
      </c>
      <c r="F10" s="1390"/>
      <c r="G10" s="1391"/>
      <c r="K10" s="440"/>
    </row>
    <row r="11" spans="1:11" ht="29.1" hidden="1" customHeight="1" x14ac:dyDescent="0.15">
      <c r="A11" s="355"/>
      <c r="B11" s="321" t="s">
        <v>250</v>
      </c>
      <c r="C11" s="321"/>
      <c r="D11" s="339"/>
      <c r="E11" s="1389"/>
      <c r="F11" s="1390"/>
      <c r="G11" s="1391"/>
      <c r="K11" s="440"/>
    </row>
    <row r="12" spans="1:11" ht="29.1" customHeight="1" x14ac:dyDescent="0.15">
      <c r="A12" s="355"/>
      <c r="B12" s="321" t="s">
        <v>251</v>
      </c>
      <c r="C12" s="321"/>
      <c r="D12" s="339"/>
      <c r="E12" s="1397" t="s">
        <v>1207</v>
      </c>
      <c r="F12" s="1390"/>
      <c r="G12" s="1391"/>
      <c r="K12" s="440"/>
    </row>
    <row r="13" spans="1:11" ht="29.1" hidden="1" customHeight="1" x14ac:dyDescent="0.15">
      <c r="A13" s="355"/>
      <c r="B13" s="321" t="s">
        <v>252</v>
      </c>
      <c r="C13" s="548"/>
      <c r="D13" s="549"/>
      <c r="E13" s="550"/>
      <c r="F13" s="551"/>
      <c r="G13" s="552"/>
      <c r="H13" s="478"/>
      <c r="I13" s="479"/>
      <c r="K13" s="441"/>
    </row>
    <row r="14" spans="1:11" s="323" customFormat="1" ht="20.25" hidden="1" customHeight="1" x14ac:dyDescent="0.15">
      <c r="A14" s="355"/>
      <c r="B14" s="322"/>
      <c r="C14" s="340" t="s">
        <v>253</v>
      </c>
      <c r="D14" s="323" t="s">
        <v>273</v>
      </c>
      <c r="E14" s="340" t="s">
        <v>254</v>
      </c>
      <c r="F14" s="340" t="s">
        <v>289</v>
      </c>
      <c r="G14" s="340"/>
    </row>
    <row r="15" spans="1:11" s="453" customFormat="1" ht="29.1" customHeight="1" x14ac:dyDescent="0.15">
      <c r="A15" s="337"/>
      <c r="B15" s="321" t="s">
        <v>48</v>
      </c>
      <c r="D15" s="1400" t="s">
        <v>1208</v>
      </c>
      <c r="E15" s="1401"/>
      <c r="F15" s="1401"/>
      <c r="G15" s="1402"/>
    </row>
    <row r="16" spans="1:11" ht="18" customHeight="1" x14ac:dyDescent="0.15">
      <c r="A16" s="355"/>
      <c r="B16" s="1394" t="s">
        <v>321</v>
      </c>
      <c r="C16" s="1395"/>
      <c r="D16" s="1395"/>
      <c r="E16" s="1395"/>
      <c r="F16" s="1395"/>
      <c r="G16" s="1396"/>
    </row>
    <row r="17" spans="1:11" s="324" customFormat="1" ht="15" customHeight="1" x14ac:dyDescent="0.15">
      <c r="A17" s="355"/>
      <c r="B17" s="341" t="s">
        <v>255</v>
      </c>
      <c r="C17" s="582"/>
      <c r="D17" s="582"/>
      <c r="E17" s="582"/>
      <c r="F17" s="582"/>
      <c r="G17" s="582"/>
    </row>
    <row r="18" spans="1:11" s="324" customFormat="1" ht="15" x14ac:dyDescent="0.15">
      <c r="A18" s="355"/>
      <c r="B18" s="342" t="s">
        <v>256</v>
      </c>
      <c r="C18" s="342"/>
      <c r="D18" s="342" t="s">
        <v>257</v>
      </c>
      <c r="E18" s="342"/>
      <c r="F18" s="343" t="s">
        <v>268</v>
      </c>
      <c r="G18" s="576"/>
    </row>
    <row r="19" spans="1:11" ht="22.5" customHeight="1" x14ac:dyDescent="0.15">
      <c r="A19" s="355"/>
      <c r="B19" s="1389" t="s">
        <v>1209</v>
      </c>
      <c r="C19" s="1390"/>
      <c r="D19" s="1389" t="s">
        <v>1210</v>
      </c>
      <c r="E19" s="1390"/>
      <c r="F19" s="1397" t="s">
        <v>1211</v>
      </c>
      <c r="G19" s="1391"/>
      <c r="K19" s="441"/>
    </row>
    <row r="20" spans="1:11" s="324" customFormat="1" ht="15" customHeight="1" x14ac:dyDescent="0.15">
      <c r="A20" s="355"/>
      <c r="B20" s="341" t="s">
        <v>258</v>
      </c>
      <c r="D20" s="342"/>
      <c r="E20" s="342"/>
      <c r="F20" s="582"/>
      <c r="G20" s="582"/>
    </row>
    <row r="21" spans="1:11" s="324" customFormat="1" ht="15" customHeight="1" x14ac:dyDescent="0.15">
      <c r="A21" s="355"/>
      <c r="B21" s="342" t="s">
        <v>256</v>
      </c>
      <c r="C21" s="342"/>
      <c r="D21" s="342" t="s">
        <v>257</v>
      </c>
      <c r="E21" s="342"/>
      <c r="F21" s="343" t="s">
        <v>268</v>
      </c>
      <c r="G21" s="577"/>
    </row>
    <row r="22" spans="1:11" ht="23.25" customHeight="1" x14ac:dyDescent="0.15">
      <c r="A22" s="355"/>
      <c r="B22" s="1398"/>
      <c r="C22" s="1399"/>
      <c r="D22" s="1398"/>
      <c r="E22" s="1399"/>
      <c r="F22" s="1398"/>
      <c r="G22" s="1399"/>
      <c r="K22" s="441" t="str">
        <f>IF(OR(LEN(B22)&gt;0,LEN(D22)&gt;0),IF(LEN(F22)=0,"E' NECESSARIO COMPILARE IL CAMPO E-MAIL"," ")," ")</f>
        <v xml:space="preserve"> </v>
      </c>
    </row>
    <row r="23" spans="1:11" ht="23.25" customHeight="1" x14ac:dyDescent="0.15">
      <c r="A23" s="355"/>
      <c r="B23" s="1398"/>
      <c r="C23" s="1399"/>
      <c r="D23" s="1398"/>
      <c r="E23" s="1399"/>
      <c r="F23" s="1398"/>
      <c r="G23" s="1399"/>
      <c r="K23" s="441" t="str">
        <f>IF(OR(LEN(B23)&gt;0,LEN(D23)&gt;0),IF(LEN(F23)=0,"E' NECESSARIO COMPILARE IL CAMPO E-MAIL"," ")," ")</f>
        <v xml:space="preserve"> </v>
      </c>
    </row>
    <row r="24" spans="1:11" ht="23.25" customHeight="1" x14ac:dyDescent="0.15">
      <c r="A24" s="355"/>
      <c r="B24" s="1398"/>
      <c r="C24" s="1399"/>
      <c r="D24" s="1398"/>
      <c r="E24" s="1399"/>
      <c r="F24" s="1398"/>
      <c r="G24" s="1399"/>
      <c r="K24" s="441" t="str">
        <f>IF(OR(LEN(B24)&gt;0,LEN(D24)&gt;0),IF(LEN(F24)=0,"E' NECESSARIO COMPILARE IL CAMPO E-MAIL"," ")," ")</f>
        <v xml:space="preserve"> </v>
      </c>
    </row>
    <row r="25" spans="1:11" ht="23.25" customHeight="1" x14ac:dyDescent="0.15">
      <c r="A25" s="355"/>
      <c r="B25" s="1398"/>
      <c r="C25" s="1399"/>
      <c r="D25" s="1398"/>
      <c r="E25" s="1399"/>
      <c r="F25" s="1398"/>
      <c r="G25" s="1399"/>
      <c r="K25" s="441" t="str">
        <f>IF(OR(LEN(B25)&gt;0,LEN(D25)&gt;0),IF(LEN(F25)=0,"E' NECESSARIO COMPILARE IL CAMPO E-MAIL"," ")," ")</f>
        <v xml:space="preserve"> </v>
      </c>
    </row>
    <row r="26" spans="1:11" ht="23.25" customHeight="1" x14ac:dyDescent="0.15">
      <c r="A26" s="355"/>
      <c r="B26" s="1398"/>
      <c r="C26" s="1399"/>
      <c r="D26" s="1398"/>
      <c r="E26" s="1399"/>
      <c r="F26" s="1398"/>
      <c r="G26" s="1399"/>
      <c r="K26" s="441" t="str">
        <f>IF(OR(LEN(B26)&gt;0,LEN(D26)&gt;0),IF(LEN(F26)=0,"E' NECESSARIO COMPILARE IL CAMPO E-MAIL"," ")," ")</f>
        <v xml:space="preserve"> </v>
      </c>
    </row>
    <row r="27" spans="1:11" ht="18" x14ac:dyDescent="0.15">
      <c r="A27" s="355"/>
      <c r="C27" s="344"/>
      <c r="D27" s="344"/>
      <c r="E27" s="339"/>
      <c r="F27" s="345"/>
      <c r="G27" s="345"/>
    </row>
    <row r="28" spans="1:11" ht="18" customHeight="1" x14ac:dyDescent="0.15">
      <c r="A28" s="355"/>
      <c r="B28" s="347" t="s">
        <v>259</v>
      </c>
      <c r="C28" s="346"/>
      <c r="D28" s="346"/>
      <c r="E28" s="348"/>
      <c r="F28" s="349"/>
      <c r="G28" s="349"/>
      <c r="H28" s="325"/>
    </row>
    <row r="29" spans="1:11" ht="13.5" customHeight="1" x14ac:dyDescent="0.15">
      <c r="A29" s="355"/>
      <c r="B29" s="346"/>
      <c r="C29" s="346"/>
      <c r="D29" s="346"/>
      <c r="E29" s="348"/>
      <c r="F29" s="348"/>
      <c r="G29" s="348"/>
      <c r="H29" s="325"/>
    </row>
    <row r="30" spans="1:11" ht="18" customHeight="1" x14ac:dyDescent="0.15">
      <c r="A30" s="355"/>
      <c r="B30" s="1394" t="s">
        <v>322</v>
      </c>
      <c r="C30" s="1395"/>
      <c r="D30" s="1395"/>
      <c r="E30" s="1395"/>
      <c r="F30" s="1395"/>
      <c r="G30" s="1396"/>
      <c r="H30" s="325"/>
    </row>
    <row r="31" spans="1:11" ht="8.1" customHeight="1" x14ac:dyDescent="0.15">
      <c r="A31" s="355"/>
      <c r="B31" s="623"/>
      <c r="C31" s="605"/>
      <c r="D31" s="605"/>
      <c r="E31" s="319"/>
      <c r="F31" s="605"/>
      <c r="G31" s="605"/>
    </row>
    <row r="32" spans="1:11" s="326" customFormat="1" ht="15.75" customHeight="1" x14ac:dyDescent="0.15">
      <c r="A32" s="355"/>
      <c r="B32" s="624" t="s">
        <v>589</v>
      </c>
      <c r="C32" s="624"/>
      <c r="D32" s="624" t="s">
        <v>590</v>
      </c>
      <c r="E32" s="624" t="s">
        <v>591</v>
      </c>
      <c r="F32" s="705" t="s">
        <v>592</v>
      </c>
      <c r="G32" s="605"/>
    </row>
    <row r="33" spans="1:11" ht="41.1" customHeight="1" x14ac:dyDescent="0.2">
      <c r="A33" s="355"/>
      <c r="B33" s="1426" t="s">
        <v>1212</v>
      </c>
      <c r="C33" s="1427"/>
      <c r="D33" s="549" t="s">
        <v>1213</v>
      </c>
      <c r="E33" s="553" t="s">
        <v>1214</v>
      </c>
      <c r="F33" s="554" t="s">
        <v>1215</v>
      </c>
      <c r="G33" s="605"/>
      <c r="K33" s="441" t="str">
        <f>IF(AND(LEN(B33)&gt;0,LEN(D33)&gt;0,LEN(E33)&gt;0,LEN(F33)&gt;0),"","COMPILARE TUTTI I DATI DEL RESPONSABILE CONTRASSEGNATI CON L'ASTERISCO")</f>
        <v/>
      </c>
    </row>
    <row r="34" spans="1:11" ht="20.25" hidden="1" customHeight="1" x14ac:dyDescent="0.2">
      <c r="A34" s="355"/>
      <c r="B34" s="1424"/>
      <c r="C34" s="1425"/>
      <c r="D34" s="625"/>
      <c r="E34" s="442"/>
      <c r="F34" s="627"/>
      <c r="G34" s="627"/>
    </row>
    <row r="35" spans="1:11" ht="18" customHeight="1" x14ac:dyDescent="0.15">
      <c r="A35" s="355"/>
      <c r="B35" s="628"/>
      <c r="C35" s="628"/>
      <c r="D35" s="605"/>
      <c r="E35" s="605"/>
      <c r="F35" s="319"/>
      <c r="G35" s="319"/>
    </row>
    <row r="36" spans="1:11" ht="18" customHeight="1" x14ac:dyDescent="0.15">
      <c r="A36" s="355"/>
      <c r="B36" s="1394" t="s">
        <v>518</v>
      </c>
      <c r="C36" s="1395"/>
      <c r="D36" s="1395"/>
      <c r="E36" s="1395"/>
      <c r="F36" s="1395"/>
      <c r="G36" s="1396"/>
      <c r="H36" s="325"/>
    </row>
    <row r="37" spans="1:11" ht="8.1" customHeight="1" x14ac:dyDescent="0.15">
      <c r="A37" s="355"/>
      <c r="B37" s="623"/>
      <c r="C37" s="605"/>
      <c r="D37" s="605"/>
      <c r="E37" s="319"/>
      <c r="F37" s="605"/>
      <c r="G37" s="605"/>
    </row>
    <row r="38" spans="1:11" s="326" customFormat="1" ht="15.75" customHeight="1" x14ac:dyDescent="0.15">
      <c r="A38" s="355"/>
      <c r="B38" s="624" t="s">
        <v>256</v>
      </c>
      <c r="C38" s="624"/>
      <c r="D38" s="624" t="s">
        <v>257</v>
      </c>
      <c r="E38" s="624" t="s">
        <v>268</v>
      </c>
      <c r="F38" s="326" t="s">
        <v>249</v>
      </c>
      <c r="G38" s="605"/>
    </row>
    <row r="39" spans="1:11" ht="23.25" customHeight="1" x14ac:dyDescent="0.2">
      <c r="A39" s="355"/>
      <c r="B39" s="1424" t="s">
        <v>1216</v>
      </c>
      <c r="C39" s="1425"/>
      <c r="D39" s="625" t="s">
        <v>1210</v>
      </c>
      <c r="E39" s="626" t="s">
        <v>1207</v>
      </c>
      <c r="F39" s="627" t="s">
        <v>1206</v>
      </c>
      <c r="G39" s="605"/>
      <c r="K39" s="441"/>
    </row>
    <row r="40" spans="1:11" ht="18" customHeight="1" x14ac:dyDescent="0.15">
      <c r="A40" s="355"/>
      <c r="B40" s="628"/>
      <c r="C40" s="628"/>
      <c r="D40" s="605"/>
      <c r="E40" s="605"/>
      <c r="F40" s="319"/>
      <c r="G40" s="319"/>
    </row>
    <row r="41" spans="1:11" ht="18" customHeight="1" x14ac:dyDescent="0.15">
      <c r="A41" s="355"/>
      <c r="B41" s="1394" t="s">
        <v>327</v>
      </c>
      <c r="C41" s="1395"/>
      <c r="D41" s="1395"/>
      <c r="E41" s="1395"/>
      <c r="F41" s="1395"/>
      <c r="G41" s="1396"/>
    </row>
    <row r="42" spans="1:11" ht="6" customHeight="1" x14ac:dyDescent="0.2">
      <c r="A42" s="355"/>
      <c r="B42" s="321"/>
      <c r="C42" s="321"/>
      <c r="F42" s="350"/>
      <c r="G42" s="350"/>
    </row>
    <row r="43" spans="1:11" ht="15" hidden="1" x14ac:dyDescent="0.15">
      <c r="A43" s="355"/>
      <c r="B43" s="327"/>
      <c r="C43" s="321"/>
      <c r="F43"/>
      <c r="G43"/>
      <c r="H43" s="356" t="b">
        <v>0</v>
      </c>
      <c r="I43" s="356" t="b">
        <v>0</v>
      </c>
    </row>
    <row r="44" spans="1:11" ht="29.25" hidden="1" customHeight="1" x14ac:dyDescent="0.15">
      <c r="A44" s="355">
        <v>1</v>
      </c>
      <c r="B44" s="1409" t="s">
        <v>260</v>
      </c>
      <c r="C44" s="1409"/>
      <c r="D44" s="1409"/>
      <c r="E44" s="1409"/>
      <c r="F44" s="495"/>
      <c r="G44" s="495"/>
      <c r="H44" s="428"/>
      <c r="I44" s="428"/>
      <c r="J44" s="443"/>
      <c r="K44" s="441"/>
    </row>
    <row r="45" spans="1:11" ht="8.25" hidden="1" customHeight="1" x14ac:dyDescent="0.15">
      <c r="B45" s="327"/>
      <c r="C45" s="321"/>
      <c r="F45" s="545"/>
      <c r="G45" s="545"/>
      <c r="H45" s="356"/>
      <c r="I45" s="356"/>
    </row>
    <row r="46" spans="1:11" ht="29.25" hidden="1" customHeight="1" x14ac:dyDescent="0.15">
      <c r="A46" s="355">
        <v>2</v>
      </c>
      <c r="B46" s="1409" t="s">
        <v>260</v>
      </c>
      <c r="C46" s="1409"/>
      <c r="D46" s="1409"/>
      <c r="E46" s="1409"/>
      <c r="F46" s="349"/>
      <c r="G46" s="349"/>
      <c r="H46" s="428"/>
      <c r="I46" s="428"/>
      <c r="J46" s="443"/>
      <c r="K46" s="441"/>
    </row>
    <row r="47" spans="1:11" ht="8.25" hidden="1" customHeight="1" x14ac:dyDescent="0.15">
      <c r="A47" s="355"/>
      <c r="B47" s="327"/>
      <c r="C47" s="321"/>
      <c r="F47" s="545"/>
      <c r="G47" s="545"/>
      <c r="H47" s="356"/>
      <c r="I47" s="356"/>
    </row>
    <row r="48" spans="1:11" ht="29.25" hidden="1" customHeight="1" x14ac:dyDescent="0.15">
      <c r="A48" s="355">
        <v>3</v>
      </c>
      <c r="B48" s="1409" t="s">
        <v>260</v>
      </c>
      <c r="C48" s="1409"/>
      <c r="D48" s="1409"/>
      <c r="E48" s="1409"/>
      <c r="F48" s="349"/>
      <c r="G48" s="349"/>
      <c r="H48" s="428"/>
      <c r="I48" s="428"/>
      <c r="J48" s="443"/>
      <c r="K48" s="441"/>
    </row>
    <row r="49" spans="1:11" ht="8.25" hidden="1" customHeight="1" x14ac:dyDescent="0.15">
      <c r="A49" s="355"/>
      <c r="B49" s="546"/>
      <c r="C49" s="546"/>
      <c r="D49" s="546"/>
      <c r="E49" s="546"/>
      <c r="F49" s="545"/>
      <c r="G49" s="545"/>
      <c r="H49" s="356"/>
      <c r="I49" s="356"/>
    </row>
    <row r="50" spans="1:11" ht="29.25" hidden="1" customHeight="1" x14ac:dyDescent="0.15">
      <c r="A50" s="355">
        <v>4</v>
      </c>
      <c r="B50" s="1409" t="s">
        <v>260</v>
      </c>
      <c r="C50" s="1409"/>
      <c r="D50" s="1409"/>
      <c r="E50" s="1409"/>
      <c r="F50" s="349"/>
      <c r="G50" s="349"/>
      <c r="H50" s="428"/>
      <c r="I50" s="428"/>
      <c r="J50" s="443"/>
      <c r="K50" s="441"/>
    </row>
    <row r="51" spans="1:11" ht="9.75" hidden="1" customHeight="1" x14ac:dyDescent="0.15">
      <c r="A51" s="355"/>
      <c r="H51" s="428"/>
      <c r="I51" s="428"/>
    </row>
    <row r="52" spans="1:11" ht="15" hidden="1" x14ac:dyDescent="0.2">
      <c r="A52" s="355"/>
      <c r="B52" s="319"/>
      <c r="C52" s="319"/>
      <c r="F52" s="350"/>
      <c r="G52" s="351"/>
    </row>
    <row r="53" spans="1:11" ht="27" hidden="1" customHeight="1" x14ac:dyDescent="0.15">
      <c r="A53" s="355">
        <v>5</v>
      </c>
      <c r="B53" s="1392" t="s">
        <v>260</v>
      </c>
      <c r="C53" s="1392"/>
      <c r="D53" s="1392"/>
      <c r="E53" s="1392"/>
      <c r="F53" s="1393"/>
      <c r="G53" s="575"/>
      <c r="K53" s="441"/>
    </row>
    <row r="54" spans="1:11" ht="4.5" hidden="1" customHeight="1" x14ac:dyDescent="0.15">
      <c r="A54" s="355"/>
      <c r="B54" s="327"/>
      <c r="C54" s="327"/>
      <c r="D54" s="570"/>
      <c r="E54" s="570"/>
      <c r="F54" s="570"/>
      <c r="G54" s="352"/>
    </row>
    <row r="55" spans="1:11" ht="15" x14ac:dyDescent="0.15">
      <c r="A55" s="355"/>
      <c r="B55" s="476"/>
      <c r="C55" s="476"/>
      <c r="D55" s="571"/>
      <c r="E55" s="571"/>
      <c r="F55" s="476"/>
      <c r="G55" s="351" t="s">
        <v>261</v>
      </c>
    </row>
    <row r="56" spans="1:11" ht="24" customHeight="1" x14ac:dyDescent="0.15">
      <c r="A56" s="355">
        <v>6</v>
      </c>
      <c r="B56" s="1392" t="s">
        <v>1083</v>
      </c>
      <c r="C56" s="1392"/>
      <c r="D56" s="1392"/>
      <c r="E56" s="1392"/>
      <c r="F56" s="1393"/>
      <c r="G56" s="498">
        <v>1</v>
      </c>
      <c r="K56" s="441" t="str">
        <f>IF(G56="","INSERIRE CAMPO OBBLIGATORIO",IF(G56=" ","INSERIRE NUMERO VALIDO",""))</f>
        <v/>
      </c>
    </row>
    <row r="57" spans="1:11" ht="4.5" customHeight="1" x14ac:dyDescent="0.15">
      <c r="A57" s="355"/>
      <c r="B57" s="327"/>
      <c r="C57" s="327"/>
      <c r="D57" s="571"/>
      <c r="E57" s="571"/>
      <c r="F57" s="476"/>
    </row>
    <row r="58" spans="1:11" ht="15" x14ac:dyDescent="0.15">
      <c r="A58" s="355"/>
      <c r="B58" s="476"/>
      <c r="C58" s="572"/>
      <c r="D58" s="573"/>
      <c r="E58" s="573"/>
      <c r="F58" s="574"/>
      <c r="G58" s="351" t="s">
        <v>261</v>
      </c>
    </row>
    <row r="59" spans="1:11" ht="24" customHeight="1" x14ac:dyDescent="0.15">
      <c r="A59" s="355">
        <v>7</v>
      </c>
      <c r="B59" s="1392" t="s">
        <v>1091</v>
      </c>
      <c r="C59" s="1392"/>
      <c r="D59" s="1392"/>
      <c r="E59" s="1392"/>
      <c r="F59" s="1393"/>
      <c r="G59" s="498">
        <v>0</v>
      </c>
      <c r="K59" s="441" t="str">
        <f>IF(G59="","INSERIRE CAMPO OBBLIGATORIO",IF(G59=" ","INSERIRE NUMERO VALIDO",""))</f>
        <v/>
      </c>
    </row>
    <row r="60" spans="1:11" ht="4.5" customHeight="1" x14ac:dyDescent="0.15">
      <c r="A60" s="355"/>
      <c r="B60" s="327"/>
      <c r="C60" s="327"/>
      <c r="D60" s="571"/>
      <c r="E60" s="571"/>
      <c r="F60" s="476"/>
      <c r="G60" s="337" t="s">
        <v>94</v>
      </c>
    </row>
    <row r="61" spans="1:11" ht="15" x14ac:dyDescent="0.15">
      <c r="A61" s="355"/>
      <c r="B61" s="476"/>
      <c r="C61" s="572"/>
      <c r="D61" s="573"/>
      <c r="E61" s="573"/>
      <c r="F61" s="574"/>
      <c r="G61" s="351" t="s">
        <v>261</v>
      </c>
    </row>
    <row r="62" spans="1:11" ht="24" customHeight="1" x14ac:dyDescent="0.15">
      <c r="A62" s="355">
        <v>8</v>
      </c>
      <c r="B62" s="1392" t="s">
        <v>453</v>
      </c>
      <c r="C62" s="1392"/>
      <c r="D62" s="1392"/>
      <c r="E62" s="1392"/>
      <c r="F62" s="1393"/>
      <c r="G62" s="498">
        <v>0</v>
      </c>
      <c r="K62" s="441" t="str">
        <f>IF(G62="","INSERIRE CAMPO OBBLIGATORIO",IF(G62=" ","INSERIRE NUMERO VALIDO",""))</f>
        <v/>
      </c>
    </row>
    <row r="63" spans="1:11" ht="4.5" customHeight="1" x14ac:dyDescent="0.15">
      <c r="A63" s="355"/>
      <c r="B63" s="327"/>
      <c r="C63" s="327"/>
      <c r="D63" s="571"/>
      <c r="E63" s="571"/>
      <c r="F63" s="476"/>
      <c r="G63" s="337" t="s">
        <v>94</v>
      </c>
    </row>
    <row r="64" spans="1:11" ht="15" hidden="1" customHeight="1" x14ac:dyDescent="0.15">
      <c r="A64" s="604"/>
      <c r="B64" s="327"/>
      <c r="C64" s="327"/>
      <c r="D64" s="571"/>
      <c r="E64" s="571"/>
      <c r="F64" s="476"/>
      <c r="G64"/>
      <c r="H64"/>
      <c r="I64" s="477"/>
      <c r="J64" s="477"/>
    </row>
    <row r="65" spans="1:11" ht="15" hidden="1" customHeight="1" x14ac:dyDescent="0.15">
      <c r="A65" s="604"/>
      <c r="B65" s="327"/>
      <c r="C65" s="327"/>
      <c r="D65" s="571"/>
      <c r="E65" s="571"/>
      <c r="F65" s="476"/>
      <c r="G65"/>
      <c r="H65"/>
      <c r="I65" s="473"/>
      <c r="J65" s="477"/>
    </row>
    <row r="66" spans="1:11" ht="15" hidden="1" customHeight="1" x14ac:dyDescent="0.15">
      <c r="A66" s="604"/>
      <c r="B66" s="327"/>
      <c r="C66" s="327"/>
      <c r="D66" s="571"/>
      <c r="E66" s="571"/>
      <c r="F66" s="476"/>
      <c r="G66"/>
      <c r="H66"/>
      <c r="I66" s="473"/>
      <c r="J66" s="477"/>
    </row>
    <row r="67" spans="1:11" ht="15" hidden="1" customHeight="1" x14ac:dyDescent="0.15">
      <c r="A67" s="604"/>
      <c r="B67" s="327"/>
      <c r="C67" s="327"/>
      <c r="D67" s="571"/>
      <c r="E67" s="571"/>
      <c r="F67" s="476"/>
      <c r="G67"/>
      <c r="H67"/>
      <c r="I67" s="473"/>
      <c r="J67" s="477"/>
    </row>
    <row r="68" spans="1:11" ht="15" hidden="1" customHeight="1" x14ac:dyDescent="0.15">
      <c r="A68" s="604"/>
      <c r="B68" s="327"/>
      <c r="C68" s="327"/>
      <c r="D68" s="571"/>
      <c r="E68" s="571"/>
      <c r="F68" s="476"/>
      <c r="G68"/>
      <c r="H68"/>
      <c r="I68" s="473"/>
      <c r="J68" s="477"/>
    </row>
    <row r="69" spans="1:11" ht="15" hidden="1" customHeight="1" x14ac:dyDescent="0.15">
      <c r="A69" s="604"/>
      <c r="B69" s="327"/>
      <c r="C69" s="327"/>
      <c r="D69" s="571"/>
      <c r="E69" s="571"/>
      <c r="F69" s="476"/>
      <c r="G69"/>
      <c r="H69"/>
      <c r="I69" s="473"/>
      <c r="J69" s="477"/>
    </row>
    <row r="70" spans="1:11" ht="10.15" hidden="1" customHeight="1" x14ac:dyDescent="0.15">
      <c r="A70" s="355"/>
      <c r="B70" s="327"/>
      <c r="C70" s="327"/>
      <c r="D70" s="571"/>
      <c r="E70" s="571"/>
      <c r="F70" s="476"/>
      <c r="G70" s="492"/>
    </row>
    <row r="71" spans="1:11" ht="10.15" hidden="1" customHeight="1" x14ac:dyDescent="0.15">
      <c r="A71" s="355"/>
      <c r="B71" s="327"/>
      <c r="C71" s="327"/>
      <c r="D71" s="571"/>
      <c r="E71" s="571"/>
      <c r="F71" s="476"/>
      <c r="G71" s="492"/>
    </row>
    <row r="72" spans="1:11" ht="10.15" hidden="1" customHeight="1" x14ac:dyDescent="0.15">
      <c r="A72" s="355"/>
      <c r="B72" s="327"/>
      <c r="C72" s="327"/>
      <c r="D72" s="571"/>
      <c r="E72" s="571"/>
      <c r="F72" s="476"/>
      <c r="G72" s="492"/>
    </row>
    <row r="73" spans="1:11" ht="10.15" hidden="1" customHeight="1" x14ac:dyDescent="0.15">
      <c r="A73" s="355"/>
      <c r="B73" s="327"/>
      <c r="C73" s="327"/>
      <c r="D73" s="571"/>
      <c r="E73" s="571"/>
      <c r="F73" s="476"/>
      <c r="G73" s="492"/>
    </row>
    <row r="74" spans="1:11" ht="10.15" hidden="1" customHeight="1" x14ac:dyDescent="0.15">
      <c r="A74" s="355"/>
      <c r="B74" s="327"/>
      <c r="C74" s="327"/>
      <c r="D74" s="571"/>
      <c r="E74" s="571"/>
      <c r="F74" s="476"/>
      <c r="G74" s="492"/>
    </row>
    <row r="75" spans="1:11" ht="10.15" hidden="1" customHeight="1" x14ac:dyDescent="0.15">
      <c r="A75" s="355"/>
      <c r="B75" s="327"/>
      <c r="C75" s="327"/>
      <c r="D75" s="571"/>
      <c r="E75" s="571"/>
      <c r="F75" s="476"/>
      <c r="G75" s="492"/>
    </row>
    <row r="76" spans="1:11" ht="10.15" hidden="1" customHeight="1" x14ac:dyDescent="0.15">
      <c r="A76" s="355"/>
      <c r="B76" s="327"/>
      <c r="C76" s="327"/>
      <c r="D76" s="571"/>
      <c r="E76" s="571"/>
      <c r="F76" s="476"/>
      <c r="G76" s="492"/>
    </row>
    <row r="77" spans="1:11" ht="10.15" hidden="1" customHeight="1" x14ac:dyDescent="0.15">
      <c r="A77" s="355"/>
      <c r="B77" s="327"/>
      <c r="C77" s="327"/>
      <c r="D77" s="571"/>
      <c r="E77" s="571"/>
      <c r="F77" s="476"/>
      <c r="G77" s="492"/>
    </row>
    <row r="78" spans="1:11" ht="10.15" hidden="1" customHeight="1" x14ac:dyDescent="0.15">
      <c r="A78" s="355"/>
      <c r="B78" s="327"/>
      <c r="C78" s="327"/>
      <c r="D78" s="571"/>
      <c r="E78" s="571"/>
      <c r="F78" s="476"/>
      <c r="G78" s="492"/>
    </row>
    <row r="79" spans="1:11" ht="10.15" hidden="1" customHeight="1" x14ac:dyDescent="0.15">
      <c r="A79" s="355"/>
      <c r="B79" s="327"/>
      <c r="C79" s="327"/>
      <c r="D79" s="571"/>
      <c r="E79" s="571"/>
      <c r="F79" s="476"/>
      <c r="G79" s="474"/>
      <c r="K79" s="441"/>
    </row>
    <row r="80" spans="1:11" ht="17.25" hidden="1" customHeight="1" x14ac:dyDescent="0.15">
      <c r="A80" s="355"/>
      <c r="B80" s="327"/>
      <c r="C80" s="327"/>
      <c r="D80" s="571"/>
      <c r="E80" s="571"/>
      <c r="F80" s="476"/>
    </row>
    <row r="81" spans="1:11" ht="15" x14ac:dyDescent="0.15">
      <c r="A81" s="355"/>
      <c r="B81" s="476"/>
      <c r="C81" s="572"/>
      <c r="D81" s="573"/>
      <c r="E81" s="573"/>
      <c r="F81" s="574"/>
      <c r="G81" s="351" t="s">
        <v>307</v>
      </c>
    </row>
    <row r="82" spans="1:11" ht="27" customHeight="1" x14ac:dyDescent="0.15">
      <c r="A82" s="355">
        <v>9</v>
      </c>
      <c r="B82" s="1392" t="s">
        <v>454</v>
      </c>
      <c r="C82" s="1392"/>
      <c r="D82" s="1392"/>
      <c r="E82" s="1392"/>
      <c r="F82" s="1393"/>
      <c r="G82" s="498">
        <v>73</v>
      </c>
      <c r="K82" s="441"/>
    </row>
    <row r="83" spans="1:11" ht="5.25" customHeight="1" x14ac:dyDescent="0.15">
      <c r="A83" s="355"/>
      <c r="B83" s="438"/>
      <c r="C83" s="438"/>
      <c r="D83" s="438"/>
      <c r="E83" s="438"/>
      <c r="F83" s="438"/>
      <c r="K83" s="441"/>
    </row>
    <row r="84" spans="1:11" ht="15" hidden="1" x14ac:dyDescent="0.2">
      <c r="A84" s="355"/>
      <c r="B84" s="319"/>
      <c r="C84" s="319"/>
      <c r="F84" s="350"/>
      <c r="G84" s="351"/>
    </row>
    <row r="85" spans="1:11" ht="27" hidden="1" customHeight="1" x14ac:dyDescent="0.15">
      <c r="A85" s="355">
        <v>10</v>
      </c>
      <c r="B85" s="1392" t="s">
        <v>260</v>
      </c>
      <c r="C85" s="1392"/>
      <c r="D85" s="1392"/>
      <c r="E85" s="1392"/>
      <c r="F85" s="1393"/>
      <c r="G85" s="575"/>
      <c r="K85" s="441"/>
    </row>
    <row r="86" spans="1:11" ht="5.25" hidden="1" customHeight="1" x14ac:dyDescent="0.15">
      <c r="A86" s="355"/>
      <c r="B86" s="438"/>
      <c r="C86" s="438"/>
      <c r="D86" s="438"/>
      <c r="E86" s="438"/>
      <c r="F86" s="438"/>
      <c r="K86" s="441"/>
    </row>
    <row r="87" spans="1:11" ht="15" hidden="1" x14ac:dyDescent="0.15">
      <c r="A87" s="355"/>
      <c r="B87" s="476"/>
      <c r="C87" s="572"/>
      <c r="D87" s="573"/>
      <c r="E87" s="573"/>
      <c r="F87" s="574"/>
      <c r="G87" s="351"/>
    </row>
    <row r="88" spans="1:11" ht="27" hidden="1" customHeight="1" x14ac:dyDescent="0.15">
      <c r="A88" s="355">
        <v>11</v>
      </c>
      <c r="B88" s="1392" t="s">
        <v>260</v>
      </c>
      <c r="C88" s="1392"/>
      <c r="D88" s="1392"/>
      <c r="E88" s="1392"/>
      <c r="F88" s="1393"/>
      <c r="G88" s="575"/>
      <c r="K88" s="441"/>
    </row>
    <row r="89" spans="1:11" ht="5.25" hidden="1" customHeight="1" x14ac:dyDescent="0.15">
      <c r="A89" s="355"/>
      <c r="B89" s="438"/>
      <c r="C89" s="438"/>
      <c r="D89" s="438"/>
      <c r="E89" s="438"/>
      <c r="F89" s="438"/>
      <c r="K89" s="441"/>
    </row>
    <row r="90" spans="1:11" ht="15" hidden="1" x14ac:dyDescent="0.15">
      <c r="A90" s="355"/>
      <c r="B90" s="476"/>
      <c r="C90" s="572"/>
      <c r="D90" s="573"/>
      <c r="E90" s="573"/>
      <c r="F90" s="574"/>
      <c r="G90" s="351"/>
    </row>
    <row r="91" spans="1:11" ht="27" hidden="1" customHeight="1" x14ac:dyDescent="0.15">
      <c r="A91" s="355">
        <v>12</v>
      </c>
      <c r="B91" s="1392" t="s">
        <v>260</v>
      </c>
      <c r="C91" s="1392"/>
      <c r="D91" s="1392"/>
      <c r="E91" s="1392"/>
      <c r="F91" s="1393"/>
      <c r="G91" s="575"/>
      <c r="K91" s="441"/>
    </row>
    <row r="92" spans="1:11" ht="4.5" hidden="1" customHeight="1" x14ac:dyDescent="0.15">
      <c r="A92" s="355"/>
      <c r="B92" s="438"/>
      <c r="C92" s="438"/>
      <c r="D92" s="438"/>
      <c r="E92" s="438"/>
      <c r="F92" s="438"/>
      <c r="G92" s="438"/>
      <c r="K92" s="441"/>
    </row>
    <row r="93" spans="1:11" ht="15" hidden="1" x14ac:dyDescent="0.15">
      <c r="A93" s="355"/>
      <c r="B93" s="476"/>
      <c r="C93" s="572"/>
      <c r="D93" s="573"/>
      <c r="E93" s="573"/>
      <c r="F93" s="574"/>
      <c r="G93" s="351"/>
    </row>
    <row r="94" spans="1:11" ht="27" hidden="1" customHeight="1" x14ac:dyDescent="0.15">
      <c r="A94" s="355">
        <v>13</v>
      </c>
      <c r="B94" s="1392" t="s">
        <v>260</v>
      </c>
      <c r="C94" s="1392"/>
      <c r="D94" s="1392"/>
      <c r="E94" s="1392"/>
      <c r="F94" s="1393"/>
      <c r="G94" s="575"/>
      <c r="K94" s="441"/>
    </row>
    <row r="95" spans="1:11" ht="4.5" hidden="1" customHeight="1" x14ac:dyDescent="0.15">
      <c r="A95" s="355"/>
      <c r="B95" s="438"/>
      <c r="C95" s="438"/>
      <c r="D95" s="438"/>
      <c r="E95" s="438"/>
      <c r="F95" s="438"/>
      <c r="G95" s="438"/>
      <c r="K95" s="441"/>
    </row>
    <row r="96" spans="1:11" ht="15" hidden="1" x14ac:dyDescent="0.15">
      <c r="A96" s="355"/>
      <c r="B96" s="476"/>
      <c r="C96" s="572"/>
      <c r="D96" s="573"/>
      <c r="E96" s="573"/>
      <c r="F96" s="574"/>
      <c r="G96" s="351"/>
    </row>
    <row r="97" spans="1:11" ht="27" hidden="1" customHeight="1" x14ac:dyDescent="0.15">
      <c r="A97" s="355">
        <v>30</v>
      </c>
      <c r="B97" s="1392" t="s">
        <v>260</v>
      </c>
      <c r="C97" s="1392"/>
      <c r="D97" s="1392"/>
      <c r="E97" s="1392"/>
      <c r="F97" s="1393"/>
      <c r="G97" s="575"/>
      <c r="K97" s="441"/>
    </row>
    <row r="98" spans="1:11" ht="4.5" hidden="1" customHeight="1" x14ac:dyDescent="0.15">
      <c r="A98" s="355"/>
      <c r="B98" s="438"/>
      <c r="C98" s="438"/>
      <c r="D98" s="438"/>
      <c r="E98" s="438"/>
      <c r="F98" s="438"/>
      <c r="G98" s="438"/>
      <c r="K98" s="441"/>
    </row>
    <row r="99" spans="1:11" ht="15" x14ac:dyDescent="0.15">
      <c r="A99" s="355"/>
      <c r="B99" s="476"/>
      <c r="C99" s="572"/>
      <c r="D99" s="573"/>
      <c r="E99" s="573"/>
      <c r="F99" s="574"/>
      <c r="G99" s="351" t="s">
        <v>262</v>
      </c>
    </row>
    <row r="100" spans="1:11" ht="27" customHeight="1" x14ac:dyDescent="0.15">
      <c r="A100" s="355">
        <v>31</v>
      </c>
      <c r="B100" s="1392" t="s">
        <v>455</v>
      </c>
      <c r="C100" s="1392"/>
      <c r="D100" s="1392"/>
      <c r="E100" s="1392"/>
      <c r="F100" s="1393"/>
      <c r="G100" s="498">
        <v>0</v>
      </c>
      <c r="K100" s="441"/>
    </row>
    <row r="101" spans="1:11" ht="4.5" customHeight="1" x14ac:dyDescent="0.15">
      <c r="A101" s="355"/>
      <c r="B101" s="438"/>
      <c r="C101" s="438"/>
      <c r="D101" s="438"/>
      <c r="E101" s="438"/>
      <c r="F101" s="438"/>
      <c r="G101" s="438"/>
      <c r="K101" s="441"/>
    </row>
    <row r="102" spans="1:11" ht="15" x14ac:dyDescent="0.15">
      <c r="A102" s="355"/>
      <c r="B102" s="476"/>
      <c r="C102" s="572"/>
      <c r="D102" s="573"/>
      <c r="E102" s="573"/>
      <c r="F102" s="574"/>
      <c r="G102" s="351" t="s">
        <v>262</v>
      </c>
    </row>
    <row r="103" spans="1:11" ht="27" customHeight="1" x14ac:dyDescent="0.15">
      <c r="A103" s="355">
        <v>32</v>
      </c>
      <c r="B103" s="1392" t="s">
        <v>1084</v>
      </c>
      <c r="C103" s="1392"/>
      <c r="D103" s="1392"/>
      <c r="E103" s="1392"/>
      <c r="F103" s="1393"/>
      <c r="G103" s="498">
        <v>0</v>
      </c>
      <c r="K103" s="441"/>
    </row>
    <row r="104" spans="1:11" ht="4.5" customHeight="1" x14ac:dyDescent="0.15">
      <c r="A104" s="355"/>
      <c r="B104" s="438"/>
      <c r="C104" s="438"/>
      <c r="D104" s="438"/>
      <c r="E104" s="438"/>
      <c r="F104" s="438"/>
      <c r="G104" s="438"/>
      <c r="K104" s="441"/>
    </row>
    <row r="105" spans="1:11" ht="15" x14ac:dyDescent="0.15">
      <c r="A105" s="355"/>
      <c r="B105" s="476"/>
      <c r="C105" s="572"/>
      <c r="D105" s="573"/>
      <c r="E105" s="573"/>
      <c r="F105" s="574"/>
      <c r="G105" s="351" t="s">
        <v>262</v>
      </c>
    </row>
    <row r="106" spans="1:11" ht="27" customHeight="1" x14ac:dyDescent="0.15">
      <c r="A106" s="355">
        <v>33</v>
      </c>
      <c r="B106" s="1392" t="s">
        <v>1182</v>
      </c>
      <c r="C106" s="1392"/>
      <c r="D106" s="1392"/>
      <c r="E106" s="1392"/>
      <c r="F106" s="1393"/>
      <c r="G106" s="498">
        <v>0</v>
      </c>
      <c r="K106" s="441"/>
    </row>
    <row r="107" spans="1:11" ht="4.5" customHeight="1" x14ac:dyDescent="0.15">
      <c r="A107" s="355"/>
      <c r="B107" s="438"/>
      <c r="C107" s="438"/>
      <c r="D107" s="438"/>
      <c r="E107" s="438"/>
      <c r="F107" s="438"/>
      <c r="G107" s="438"/>
      <c r="K107" s="441"/>
    </row>
    <row r="108" spans="1:11" ht="15" x14ac:dyDescent="0.15">
      <c r="A108" s="355"/>
      <c r="B108" s="476"/>
      <c r="C108" s="572"/>
      <c r="D108" s="573"/>
      <c r="E108" s="573"/>
      <c r="F108" s="574"/>
      <c r="G108" s="351" t="s">
        <v>262</v>
      </c>
    </row>
    <row r="109" spans="1:11" ht="27" customHeight="1" x14ac:dyDescent="0.15">
      <c r="A109" s="355">
        <v>34</v>
      </c>
      <c r="B109" s="1392" t="s">
        <v>1183</v>
      </c>
      <c r="C109" s="1392"/>
      <c r="D109" s="1392"/>
      <c r="E109" s="1392"/>
      <c r="F109" s="1393"/>
      <c r="G109" s="498">
        <v>0</v>
      </c>
      <c r="K109" s="441"/>
    </row>
    <row r="110" spans="1:11" ht="4.5" customHeight="1" x14ac:dyDescent="0.15">
      <c r="A110" s="355"/>
      <c r="B110" s="438"/>
      <c r="C110" s="438"/>
      <c r="D110" s="438"/>
      <c r="E110" s="438"/>
      <c r="F110" s="438"/>
      <c r="G110" s="438"/>
      <c r="K110" s="441"/>
    </row>
    <row r="111" spans="1:11" ht="15" hidden="1" x14ac:dyDescent="0.15">
      <c r="A111" s="355"/>
      <c r="B111" s="476"/>
      <c r="C111" s="572"/>
      <c r="D111" s="573"/>
      <c r="E111" s="573"/>
      <c r="F111" s="574"/>
      <c r="G111" s="351"/>
    </row>
    <row r="112" spans="1:11" ht="27" hidden="1" customHeight="1" x14ac:dyDescent="0.15">
      <c r="A112" s="355">
        <v>35</v>
      </c>
      <c r="B112" s="1392" t="s">
        <v>260</v>
      </c>
      <c r="C112" s="1392"/>
      <c r="D112" s="1392"/>
      <c r="E112" s="1392"/>
      <c r="F112" s="1393"/>
      <c r="G112" s="575"/>
      <c r="K112" s="441"/>
    </row>
    <row r="113" spans="1:11" ht="4.5" hidden="1" customHeight="1" x14ac:dyDescent="0.15">
      <c r="A113" s="355"/>
      <c r="B113" s="438"/>
      <c r="C113" s="438"/>
      <c r="D113" s="438"/>
      <c r="E113" s="438"/>
      <c r="F113" s="438"/>
      <c r="G113" s="438"/>
      <c r="K113" s="441"/>
    </row>
    <row r="114" spans="1:11" ht="15" hidden="1" x14ac:dyDescent="0.15">
      <c r="A114" s="355"/>
      <c r="B114" s="476"/>
      <c r="C114" s="572"/>
      <c r="D114" s="573"/>
      <c r="E114" s="573"/>
      <c r="F114" s="574"/>
      <c r="G114" s="351"/>
    </row>
    <row r="115" spans="1:11" ht="27" hidden="1" customHeight="1" x14ac:dyDescent="0.15">
      <c r="A115" s="355">
        <v>36</v>
      </c>
      <c r="B115" s="1392" t="s">
        <v>260</v>
      </c>
      <c r="C115" s="1392"/>
      <c r="D115" s="1392"/>
      <c r="E115" s="1392"/>
      <c r="F115" s="1393"/>
      <c r="G115" s="575"/>
      <c r="K115" s="441"/>
    </row>
    <row r="116" spans="1:11" ht="4.5" hidden="1" customHeight="1" x14ac:dyDescent="0.15">
      <c r="A116" s="355"/>
      <c r="B116" s="438"/>
      <c r="C116" s="438"/>
      <c r="D116" s="438"/>
      <c r="E116" s="438"/>
      <c r="F116" s="438"/>
      <c r="G116" s="438"/>
      <c r="K116" s="441"/>
    </row>
    <row r="117" spans="1:11" ht="15" hidden="1" x14ac:dyDescent="0.15">
      <c r="A117" s="355"/>
      <c r="B117" s="476"/>
      <c r="C117" s="572"/>
      <c r="D117" s="573"/>
      <c r="E117" s="573"/>
      <c r="F117" s="574"/>
      <c r="G117" s="351"/>
    </row>
    <row r="118" spans="1:11" ht="27" hidden="1" customHeight="1" x14ac:dyDescent="0.15">
      <c r="A118" s="355">
        <v>37</v>
      </c>
      <c r="B118" s="1392" t="s">
        <v>260</v>
      </c>
      <c r="C118" s="1392"/>
      <c r="D118" s="1392"/>
      <c r="E118" s="1392"/>
      <c r="F118" s="1393"/>
      <c r="G118" s="575"/>
      <c r="K118" s="441"/>
    </row>
    <row r="119" spans="1:11" ht="4.5" hidden="1" customHeight="1" x14ac:dyDescent="0.15">
      <c r="A119" s="355"/>
      <c r="B119" s="438"/>
      <c r="C119" s="438"/>
      <c r="D119" s="438"/>
      <c r="E119" s="438"/>
      <c r="F119" s="438"/>
      <c r="G119" s="438"/>
      <c r="K119" s="441"/>
    </row>
    <row r="120" spans="1:11" ht="15" hidden="1" x14ac:dyDescent="0.15">
      <c r="A120" s="355"/>
      <c r="B120" s="476"/>
      <c r="C120" s="572"/>
      <c r="D120" s="573"/>
      <c r="E120" s="573"/>
      <c r="F120" s="574"/>
      <c r="G120" s="351"/>
    </row>
    <row r="121" spans="1:11" ht="27" hidden="1" customHeight="1" x14ac:dyDescent="0.15">
      <c r="A121" s="355">
        <v>38</v>
      </c>
      <c r="B121" s="1392" t="s">
        <v>260</v>
      </c>
      <c r="C121" s="1392"/>
      <c r="D121" s="1392"/>
      <c r="E121" s="1392"/>
      <c r="F121" s="1393"/>
      <c r="G121" s="575"/>
      <c r="K121" s="441"/>
    </row>
    <row r="122" spans="1:11" ht="4.5" hidden="1" customHeight="1" x14ac:dyDescent="0.15">
      <c r="A122" s="355"/>
      <c r="B122" s="438"/>
      <c r="C122" s="438"/>
      <c r="D122" s="438"/>
      <c r="E122" s="438"/>
      <c r="F122" s="438"/>
      <c r="G122" s="438"/>
      <c r="K122" s="441"/>
    </row>
    <row r="123" spans="1:11" ht="15" hidden="1" x14ac:dyDescent="0.15">
      <c r="A123" s="355"/>
      <c r="B123" s="476"/>
      <c r="C123" s="572"/>
      <c r="D123" s="573"/>
      <c r="E123" s="573"/>
      <c r="F123" s="574"/>
      <c r="G123" s="351"/>
    </row>
    <row r="124" spans="1:11" ht="27" hidden="1" customHeight="1" x14ac:dyDescent="0.15">
      <c r="A124" s="355">
        <v>39</v>
      </c>
      <c r="B124" s="1392" t="s">
        <v>260</v>
      </c>
      <c r="C124" s="1392"/>
      <c r="D124" s="1392"/>
      <c r="E124" s="1392"/>
      <c r="F124" s="1393"/>
      <c r="G124" s="575"/>
      <c r="K124" s="441"/>
    </row>
    <row r="125" spans="1:11" ht="4.5" hidden="1" customHeight="1" x14ac:dyDescent="0.15">
      <c r="A125" s="355"/>
      <c r="B125" s="438"/>
      <c r="C125" s="438"/>
      <c r="D125" s="438"/>
      <c r="E125" s="438"/>
      <c r="F125" s="438"/>
      <c r="G125" s="438"/>
      <c r="K125" s="441"/>
    </row>
    <row r="126" spans="1:11" ht="15" hidden="1" x14ac:dyDescent="0.15">
      <c r="A126" s="355"/>
      <c r="B126" s="476"/>
      <c r="C126" s="572"/>
      <c r="D126" s="573"/>
      <c r="E126" s="573"/>
      <c r="F126" s="574"/>
      <c r="G126" s="351"/>
    </row>
    <row r="127" spans="1:11" ht="27" hidden="1" customHeight="1" x14ac:dyDescent="0.15">
      <c r="A127" s="355">
        <v>40</v>
      </c>
      <c r="B127" s="1392" t="s">
        <v>260</v>
      </c>
      <c r="C127" s="1392"/>
      <c r="D127" s="1392"/>
      <c r="E127" s="1392"/>
      <c r="F127" s="1393"/>
      <c r="G127" s="575"/>
      <c r="K127" s="441"/>
    </row>
    <row r="128" spans="1:11" ht="4.5" hidden="1" customHeight="1" x14ac:dyDescent="0.15">
      <c r="A128" s="355"/>
      <c r="B128" s="438"/>
      <c r="C128" s="438"/>
      <c r="D128" s="438"/>
      <c r="E128" s="438"/>
      <c r="F128" s="438"/>
      <c r="G128" s="438"/>
      <c r="K128" s="441"/>
    </row>
    <row r="129" spans="1:11" ht="15" hidden="1" x14ac:dyDescent="0.15">
      <c r="A129" s="355"/>
      <c r="B129" s="476"/>
      <c r="C129" s="572"/>
      <c r="D129" s="573"/>
      <c r="E129" s="573"/>
      <c r="F129" s="574"/>
      <c r="G129" s="351"/>
    </row>
    <row r="130" spans="1:11" ht="27" hidden="1" customHeight="1" x14ac:dyDescent="0.15">
      <c r="A130" s="355">
        <v>41</v>
      </c>
      <c r="B130" s="1392" t="s">
        <v>260</v>
      </c>
      <c r="C130" s="1392"/>
      <c r="D130" s="1392"/>
      <c r="E130" s="1392"/>
      <c r="F130" s="1393"/>
      <c r="G130" s="575"/>
      <c r="K130" s="441"/>
    </row>
    <row r="131" spans="1:11" ht="4.5" hidden="1" customHeight="1" x14ac:dyDescent="0.15">
      <c r="A131" s="355"/>
      <c r="B131" s="438"/>
      <c r="C131" s="438"/>
      <c r="D131" s="438"/>
      <c r="E131" s="438"/>
      <c r="F131" s="438"/>
      <c r="G131" s="438"/>
      <c r="K131" s="441"/>
    </row>
    <row r="132" spans="1:11" ht="15" hidden="1" x14ac:dyDescent="0.15">
      <c r="A132" s="355"/>
      <c r="B132" s="476"/>
      <c r="C132" s="572"/>
      <c r="D132" s="573"/>
      <c r="E132" s="573"/>
      <c r="F132" s="574"/>
      <c r="G132" s="351"/>
    </row>
    <row r="133" spans="1:11" ht="27" hidden="1" customHeight="1" x14ac:dyDescent="0.15">
      <c r="A133" s="355">
        <v>42</v>
      </c>
      <c r="B133" s="1392" t="s">
        <v>260</v>
      </c>
      <c r="C133" s="1392"/>
      <c r="D133" s="1392"/>
      <c r="E133" s="1392"/>
      <c r="F133" s="1393"/>
      <c r="G133" s="575"/>
      <c r="K133" s="441"/>
    </row>
    <row r="134" spans="1:11" ht="4.5" hidden="1" customHeight="1" x14ac:dyDescent="0.15">
      <c r="A134" s="355"/>
      <c r="B134" s="438"/>
      <c r="C134" s="438"/>
      <c r="D134" s="438"/>
      <c r="E134" s="438"/>
      <c r="F134" s="438"/>
      <c r="G134" s="438"/>
      <c r="K134" s="441"/>
    </row>
    <row r="135" spans="1:11" ht="15" hidden="1" x14ac:dyDescent="0.15">
      <c r="A135" s="355"/>
      <c r="B135" s="476"/>
      <c r="C135" s="572"/>
      <c r="D135" s="573"/>
      <c r="E135" s="573"/>
      <c r="F135" s="574"/>
      <c r="G135" s="351"/>
    </row>
    <row r="136" spans="1:11" ht="27" hidden="1" customHeight="1" x14ac:dyDescent="0.15">
      <c r="A136" s="355">
        <v>43</v>
      </c>
      <c r="B136" s="1392" t="s">
        <v>260</v>
      </c>
      <c r="C136" s="1392"/>
      <c r="D136" s="1392"/>
      <c r="E136" s="1392"/>
      <c r="F136" s="1393"/>
      <c r="G136" s="575"/>
      <c r="K136" s="441"/>
    </row>
    <row r="137" spans="1:11" ht="4.5" hidden="1" customHeight="1" x14ac:dyDescent="0.15">
      <c r="A137" s="355"/>
      <c r="B137" s="438"/>
      <c r="C137" s="438"/>
      <c r="D137" s="438"/>
      <c r="E137" s="438"/>
      <c r="F137" s="438"/>
      <c r="G137" s="438"/>
      <c r="K137" s="441"/>
    </row>
    <row r="138" spans="1:11" ht="15" hidden="1" x14ac:dyDescent="0.15">
      <c r="A138" s="355"/>
      <c r="B138" s="476"/>
      <c r="C138" s="572"/>
      <c r="D138" s="573"/>
      <c r="E138" s="573"/>
      <c r="F138" s="574"/>
      <c r="G138" s="351"/>
    </row>
    <row r="139" spans="1:11" ht="27" hidden="1" customHeight="1" x14ac:dyDescent="0.15">
      <c r="A139" s="355"/>
      <c r="B139" s="1392"/>
      <c r="C139" s="1392"/>
      <c r="D139" s="1392"/>
      <c r="E139" s="1392"/>
      <c r="F139" s="1393"/>
      <c r="G139" s="498"/>
      <c r="K139" s="441"/>
    </row>
    <row r="140" spans="1:11" ht="4.5" hidden="1" customHeight="1" x14ac:dyDescent="0.15">
      <c r="A140" s="355"/>
      <c r="B140" s="438"/>
      <c r="C140" s="438"/>
      <c r="D140" s="438"/>
      <c r="E140" s="438"/>
      <c r="F140" s="438"/>
      <c r="G140" s="438"/>
      <c r="K140" s="441"/>
    </row>
    <row r="141" spans="1:11" ht="15" hidden="1" x14ac:dyDescent="0.15">
      <c r="A141" s="355"/>
      <c r="B141" s="476"/>
      <c r="C141" s="572"/>
      <c r="D141" s="573"/>
      <c r="E141" s="573"/>
      <c r="F141" s="574"/>
      <c r="G141" s="351"/>
    </row>
    <row r="142" spans="1:11" ht="27" hidden="1" customHeight="1" x14ac:dyDescent="0.15">
      <c r="A142" s="355"/>
      <c r="B142" s="1392"/>
      <c r="C142" s="1392"/>
      <c r="D142" s="1392"/>
      <c r="E142" s="1392"/>
      <c r="F142" s="1393"/>
      <c r="G142" s="498"/>
      <c r="K142" s="441"/>
    </row>
    <row r="143" spans="1:11" ht="4.5" hidden="1" customHeight="1" x14ac:dyDescent="0.15">
      <c r="A143" s="355"/>
      <c r="B143" s="438"/>
      <c r="C143" s="438"/>
      <c r="D143" s="438"/>
      <c r="E143" s="438"/>
      <c r="F143" s="438"/>
      <c r="G143" s="438"/>
      <c r="K143" s="441"/>
    </row>
    <row r="144" spans="1:11" ht="15" hidden="1" x14ac:dyDescent="0.15">
      <c r="A144" s="355"/>
      <c r="B144" s="476"/>
      <c r="C144" s="572"/>
      <c r="D144" s="573"/>
      <c r="E144" s="573"/>
      <c r="F144" s="574"/>
      <c r="G144" s="351"/>
    </row>
    <row r="145" spans="1:11" ht="27" hidden="1" customHeight="1" x14ac:dyDescent="0.15">
      <c r="A145" s="355">
        <v>46</v>
      </c>
      <c r="B145" s="1392" t="s">
        <v>260</v>
      </c>
      <c r="C145" s="1392"/>
      <c r="D145" s="1392"/>
      <c r="E145" s="1392"/>
      <c r="F145" s="1393"/>
      <c r="G145" s="575"/>
      <c r="K145" s="441"/>
    </row>
    <row r="146" spans="1:11" ht="4.3499999999999996" hidden="1" customHeight="1" x14ac:dyDescent="0.15">
      <c r="A146" s="355"/>
      <c r="B146" s="438"/>
      <c r="C146" s="438"/>
      <c r="D146" s="438"/>
      <c r="E146" s="438"/>
      <c r="F146" s="438"/>
      <c r="G146" s="605"/>
      <c r="K146" s="441"/>
    </row>
    <row r="147" spans="1:11" ht="15" hidden="1" customHeight="1" x14ac:dyDescent="0.15">
      <c r="A147" s="355"/>
      <c r="B147" s="438"/>
      <c r="C147" s="438"/>
      <c r="D147" s="438"/>
      <c r="E147" s="438"/>
      <c r="F147" s="438"/>
      <c r="G147" s="839"/>
      <c r="K147" s="441"/>
    </row>
    <row r="148" spans="1:11" ht="27" hidden="1" customHeight="1" x14ac:dyDescent="0.15">
      <c r="A148" s="355">
        <v>47</v>
      </c>
      <c r="B148" s="1392" t="s">
        <v>260</v>
      </c>
      <c r="C148" s="1392"/>
      <c r="D148" s="1392"/>
      <c r="E148" s="1392"/>
      <c r="F148" s="1393"/>
      <c r="G148" s="575"/>
      <c r="K148" s="441"/>
    </row>
    <row r="149" spans="1:11" ht="4.3499999999999996" hidden="1" customHeight="1" x14ac:dyDescent="0.15">
      <c r="A149" s="355"/>
      <c r="B149" s="319"/>
      <c r="C149" s="438"/>
      <c r="D149" s="438"/>
      <c r="E149" s="438"/>
      <c r="F149" s="438"/>
      <c r="G149" s="438"/>
      <c r="K149" s="441"/>
    </row>
    <row r="150" spans="1:11" ht="15" hidden="1" customHeight="1" x14ac:dyDescent="0.15">
      <c r="A150" s="355"/>
      <c r="B150" s="438"/>
      <c r="C150" s="438"/>
      <c r="D150" s="438"/>
      <c r="E150" s="438"/>
      <c r="F150" s="438"/>
      <c r="G150" s="839"/>
      <c r="K150" s="441"/>
    </row>
    <row r="151" spans="1:11" ht="27" hidden="1" customHeight="1" x14ac:dyDescent="0.15">
      <c r="A151" s="355">
        <v>48</v>
      </c>
      <c r="B151" s="1392" t="s">
        <v>260</v>
      </c>
      <c r="C151" s="1392"/>
      <c r="D151" s="1392"/>
      <c r="E151" s="1392"/>
      <c r="F151" s="1393"/>
      <c r="G151" s="575"/>
      <c r="K151" s="441"/>
    </row>
    <row r="152" spans="1:11" ht="3.6" hidden="1" customHeight="1" x14ac:dyDescent="0.15">
      <c r="A152" s="355"/>
      <c r="B152" s="438"/>
      <c r="C152" s="438"/>
      <c r="D152" s="438"/>
      <c r="E152" s="438"/>
      <c r="F152" s="438"/>
      <c r="G152" s="605"/>
      <c r="K152" s="441"/>
    </row>
    <row r="153" spans="1:11" ht="15" hidden="1" customHeight="1" x14ac:dyDescent="0.15">
      <c r="A153" s="355"/>
      <c r="B153" s="438"/>
      <c r="C153" s="438"/>
      <c r="D153" s="438"/>
      <c r="E153" s="438"/>
      <c r="F153" s="438"/>
      <c r="G153" s="839"/>
      <c r="K153" s="441"/>
    </row>
    <row r="154" spans="1:11" ht="27" hidden="1" customHeight="1" x14ac:dyDescent="0.15">
      <c r="A154" s="355">
        <v>49</v>
      </c>
      <c r="B154" s="1392" t="s">
        <v>260</v>
      </c>
      <c r="C154" s="1392"/>
      <c r="D154" s="1392"/>
      <c r="E154" s="1392"/>
      <c r="F154" s="1393"/>
      <c r="G154" s="575"/>
      <c r="K154" s="441"/>
    </row>
    <row r="155" spans="1:11" ht="4.5" hidden="1" customHeight="1" x14ac:dyDescent="0.15">
      <c r="A155" s="355"/>
      <c r="B155" s="438"/>
      <c r="C155" s="438"/>
      <c r="D155" s="438"/>
      <c r="E155" s="438"/>
      <c r="F155" s="438"/>
      <c r="G155" s="438"/>
      <c r="K155" s="441"/>
    </row>
    <row r="156" spans="1:11" ht="15" hidden="1" x14ac:dyDescent="0.15">
      <c r="A156" s="355"/>
      <c r="B156" s="476"/>
      <c r="C156" s="572"/>
      <c r="D156" s="573"/>
      <c r="E156" s="573"/>
      <c r="F156" s="574"/>
      <c r="G156" s="839"/>
    </row>
    <row r="157" spans="1:11" ht="27" hidden="1" customHeight="1" x14ac:dyDescent="0.15">
      <c r="A157" s="355">
        <v>50</v>
      </c>
      <c r="B157" s="1392" t="s">
        <v>260</v>
      </c>
      <c r="C157" s="1392"/>
      <c r="D157" s="1392"/>
      <c r="E157" s="1392"/>
      <c r="F157" s="1393"/>
      <c r="G157" s="575"/>
      <c r="K157" s="441"/>
    </row>
    <row r="158" spans="1:11" ht="4.5" hidden="1" customHeight="1" x14ac:dyDescent="0.15">
      <c r="A158" s="355"/>
      <c r="B158" s="438"/>
      <c r="C158" s="438"/>
      <c r="D158" s="438"/>
      <c r="E158" s="438"/>
      <c r="F158" s="438"/>
      <c r="G158" s="438"/>
      <c r="K158" s="441"/>
    </row>
    <row r="159" spans="1:11" ht="15" hidden="1" x14ac:dyDescent="0.15">
      <c r="A159" s="355"/>
      <c r="B159" s="476"/>
      <c r="C159" s="572"/>
      <c r="D159" s="573"/>
      <c r="E159" s="573"/>
      <c r="F159" s="574"/>
      <c r="G159" s="839"/>
    </row>
    <row r="160" spans="1:11" ht="27" hidden="1" customHeight="1" x14ac:dyDescent="0.15">
      <c r="A160" s="355">
        <v>51</v>
      </c>
      <c r="B160" s="1392" t="s">
        <v>260</v>
      </c>
      <c r="C160" s="1392"/>
      <c r="D160" s="1392"/>
      <c r="E160" s="1392"/>
      <c r="F160" s="1393"/>
      <c r="G160" s="575"/>
      <c r="K160" s="441"/>
    </row>
    <row r="161" spans="1:11" ht="4.5" hidden="1" customHeight="1" x14ac:dyDescent="0.15">
      <c r="A161" s="355"/>
      <c r="B161" s="438"/>
      <c r="C161" s="438"/>
      <c r="D161" s="438"/>
      <c r="E161" s="438"/>
      <c r="F161" s="438"/>
      <c r="G161" s="438"/>
      <c r="K161" s="441"/>
    </row>
    <row r="162" spans="1:11" ht="15" hidden="1" x14ac:dyDescent="0.15">
      <c r="A162" s="355"/>
      <c r="B162" s="476"/>
      <c r="C162" s="572"/>
      <c r="D162" s="573"/>
      <c r="E162" s="573"/>
      <c r="F162" s="574"/>
      <c r="G162" s="839"/>
    </row>
    <row r="163" spans="1:11" ht="27" hidden="1" customHeight="1" x14ac:dyDescent="0.15">
      <c r="A163" s="355">
        <v>52</v>
      </c>
      <c r="B163" s="1392" t="s">
        <v>260</v>
      </c>
      <c r="C163" s="1392"/>
      <c r="D163" s="1392"/>
      <c r="E163" s="1392"/>
      <c r="F163" s="1393"/>
      <c r="G163" s="575"/>
      <c r="K163" s="441"/>
    </row>
    <row r="164" spans="1:11" ht="4.5" hidden="1" customHeight="1" x14ac:dyDescent="0.15">
      <c r="A164" s="355"/>
      <c r="B164" s="438"/>
      <c r="C164" s="438"/>
      <c r="D164" s="438"/>
      <c r="E164" s="438"/>
      <c r="F164" s="438"/>
      <c r="G164" s="438"/>
      <c r="K164" s="441"/>
    </row>
    <row r="165" spans="1:11" ht="15" hidden="1" x14ac:dyDescent="0.15">
      <c r="A165" s="355"/>
      <c r="B165" s="476"/>
      <c r="C165" s="572"/>
      <c r="D165" s="573"/>
      <c r="E165" s="573"/>
      <c r="F165" s="574"/>
      <c r="G165" s="839"/>
    </row>
    <row r="166" spans="1:11" ht="27" hidden="1" customHeight="1" x14ac:dyDescent="0.15">
      <c r="A166" s="355">
        <v>53</v>
      </c>
      <c r="B166" s="1392" t="s">
        <v>260</v>
      </c>
      <c r="C166" s="1392"/>
      <c r="D166" s="1392"/>
      <c r="E166" s="1392"/>
      <c r="F166" s="1393"/>
      <c r="G166" s="575"/>
      <c r="K166" s="441"/>
    </row>
    <row r="167" spans="1:11" ht="4.5" hidden="1" customHeight="1" x14ac:dyDescent="0.15">
      <c r="A167" s="355"/>
      <c r="B167" s="438"/>
      <c r="C167" s="438"/>
      <c r="D167" s="438"/>
      <c r="E167" s="438"/>
      <c r="F167" s="438"/>
      <c r="G167" s="438"/>
      <c r="K167" s="441"/>
    </row>
    <row r="168" spans="1:11" ht="15" hidden="1" x14ac:dyDescent="0.15">
      <c r="A168" s="355"/>
      <c r="B168" s="476"/>
      <c r="C168" s="572"/>
      <c r="D168" s="573"/>
      <c r="E168" s="573"/>
      <c r="F168" s="574"/>
      <c r="G168" s="839"/>
    </row>
    <row r="169" spans="1:11" ht="27" hidden="1" customHeight="1" x14ac:dyDescent="0.15">
      <c r="A169" s="355">
        <v>54</v>
      </c>
      <c r="B169" s="1392" t="s">
        <v>260</v>
      </c>
      <c r="C169" s="1392"/>
      <c r="D169" s="1392"/>
      <c r="E169" s="1392"/>
      <c r="F169" s="1393"/>
      <c r="G169" s="575"/>
      <c r="K169" s="441"/>
    </row>
    <row r="170" spans="1:11" ht="4.3499999999999996" hidden="1" customHeight="1" x14ac:dyDescent="0.15">
      <c r="A170" s="355"/>
      <c r="B170" s="438"/>
      <c r="C170" s="438"/>
      <c r="D170" s="438"/>
      <c r="E170" s="438"/>
      <c r="F170" s="438"/>
      <c r="G170" s="438"/>
      <c r="K170" s="441"/>
    </row>
    <row r="171" spans="1:11" ht="15" hidden="1" x14ac:dyDescent="0.15">
      <c r="A171" s="355"/>
      <c r="B171" s="476"/>
      <c r="C171" s="572"/>
      <c r="D171" s="573"/>
      <c r="E171" s="573"/>
      <c r="F171" s="574"/>
      <c r="G171" s="839" t="s">
        <v>262</v>
      </c>
    </row>
    <row r="172" spans="1:11" ht="27" hidden="1" customHeight="1" x14ac:dyDescent="0.15">
      <c r="A172" s="355">
        <v>55</v>
      </c>
      <c r="B172" s="1392" t="s">
        <v>839</v>
      </c>
      <c r="C172" s="1392"/>
      <c r="D172" s="1392"/>
      <c r="E172" s="1392"/>
      <c r="F172" s="1393"/>
      <c r="G172" s="850"/>
      <c r="K172" s="441"/>
    </row>
    <row r="173" spans="1:11" ht="4.5" hidden="1" customHeight="1" x14ac:dyDescent="0.15">
      <c r="A173" s="355"/>
      <c r="B173" s="438"/>
      <c r="C173" s="438"/>
      <c r="D173" s="438"/>
      <c r="E173" s="438"/>
      <c r="F173" s="438"/>
      <c r="G173" s="438"/>
      <c r="K173" s="441"/>
    </row>
    <row r="174" spans="1:11" ht="15" hidden="1" x14ac:dyDescent="0.15">
      <c r="A174" s="355"/>
      <c r="B174" s="476"/>
      <c r="C174" s="572"/>
      <c r="D174" s="573"/>
      <c r="E174" s="573"/>
      <c r="F174" s="574"/>
      <c r="G174" s="839" t="s">
        <v>840</v>
      </c>
    </row>
    <row r="175" spans="1:11" ht="27" hidden="1" customHeight="1" x14ac:dyDescent="0.15">
      <c r="A175" s="355">
        <v>56</v>
      </c>
      <c r="B175" s="1392" t="s">
        <v>841</v>
      </c>
      <c r="C175" s="1392"/>
      <c r="D175" s="1392"/>
      <c r="E175" s="1392"/>
      <c r="F175" s="1393"/>
      <c r="G175" s="850"/>
      <c r="K175" s="441"/>
    </row>
    <row r="176" spans="1:11" ht="4.5" hidden="1" customHeight="1" x14ac:dyDescent="0.15">
      <c r="A176" s="355"/>
      <c r="B176" s="438"/>
      <c r="C176" s="438"/>
      <c r="D176" s="438"/>
      <c r="E176" s="438"/>
      <c r="F176" s="438"/>
      <c r="G176" s="438"/>
      <c r="K176" s="441"/>
    </row>
    <row r="177" spans="1:11" ht="15" hidden="1" x14ac:dyDescent="0.15">
      <c r="A177" s="355"/>
      <c r="B177" s="476"/>
      <c r="C177" s="572"/>
      <c r="D177" s="573"/>
      <c r="E177" s="573"/>
      <c r="F177" s="574"/>
      <c r="G177" s="839"/>
    </row>
    <row r="178" spans="1:11" ht="27" hidden="1" customHeight="1" x14ac:dyDescent="0.15">
      <c r="A178" s="355">
        <v>57</v>
      </c>
      <c r="B178" s="1392" t="s">
        <v>260</v>
      </c>
      <c r="C178" s="1392"/>
      <c r="D178" s="1392"/>
      <c r="E178" s="1392"/>
      <c r="F178" s="1393"/>
      <c r="G178" s="575"/>
      <c r="K178" s="441"/>
    </row>
    <row r="179" spans="1:11" ht="4.5" hidden="1" customHeight="1" x14ac:dyDescent="0.15">
      <c r="A179" s="355"/>
      <c r="B179" s="438"/>
      <c r="C179" s="438"/>
      <c r="D179" s="438"/>
      <c r="E179" s="438"/>
      <c r="F179" s="438"/>
      <c r="G179" s="438"/>
      <c r="K179" s="441"/>
    </row>
    <row r="180" spans="1:11" ht="15" hidden="1" x14ac:dyDescent="0.15">
      <c r="A180" s="355"/>
      <c r="B180" s="476"/>
      <c r="C180" s="572"/>
      <c r="D180" s="573"/>
      <c r="E180" s="573"/>
      <c r="F180" s="574"/>
      <c r="G180" s="839"/>
    </row>
    <row r="181" spans="1:11" ht="27" hidden="1" customHeight="1" x14ac:dyDescent="0.15">
      <c r="A181" s="355">
        <v>58</v>
      </c>
      <c r="B181" s="1392" t="s">
        <v>260</v>
      </c>
      <c r="C181" s="1392"/>
      <c r="D181" s="1392"/>
      <c r="E181" s="1392"/>
      <c r="F181" s="1393"/>
      <c r="G181" s="575"/>
      <c r="K181" s="441"/>
    </row>
    <row r="182" spans="1:11" ht="4.5" hidden="1" customHeight="1" x14ac:dyDescent="0.15">
      <c r="A182" s="355"/>
      <c r="B182" s="438"/>
      <c r="C182" s="438"/>
      <c r="D182" s="438"/>
      <c r="E182" s="438"/>
      <c r="F182" s="438"/>
      <c r="G182" s="438"/>
      <c r="K182" s="441"/>
    </row>
    <row r="183" spans="1:11" ht="15" hidden="1" x14ac:dyDescent="0.15">
      <c r="A183" s="355"/>
      <c r="B183" s="476"/>
      <c r="C183" s="572"/>
      <c r="D183" s="573"/>
      <c r="E183" s="573"/>
      <c r="F183" s="574"/>
      <c r="G183" s="839"/>
    </row>
    <row r="184" spans="1:11" ht="27" hidden="1" customHeight="1" x14ac:dyDescent="0.15">
      <c r="A184" s="355">
        <v>59</v>
      </c>
      <c r="B184" s="1392" t="s">
        <v>260</v>
      </c>
      <c r="C184" s="1392"/>
      <c r="D184" s="1392"/>
      <c r="E184" s="1392"/>
      <c r="F184" s="1393"/>
      <c r="G184" s="575"/>
      <c r="K184" s="441"/>
    </row>
    <row r="185" spans="1:11" ht="3.6" hidden="1" customHeight="1" x14ac:dyDescent="0.15">
      <c r="A185" s="355"/>
      <c r="B185" s="476"/>
      <c r="C185" s="572"/>
      <c r="D185" s="573"/>
      <c r="E185" s="573"/>
      <c r="F185" s="574"/>
      <c r="G185" s="441"/>
    </row>
    <row r="186" spans="1:11" ht="15" hidden="1" x14ac:dyDescent="0.15">
      <c r="A186" s="355"/>
      <c r="B186" s="476"/>
      <c r="C186" s="572"/>
      <c r="D186" s="573"/>
      <c r="E186" s="573"/>
      <c r="F186" s="574"/>
      <c r="G186" s="839"/>
    </row>
    <row r="187" spans="1:11" ht="27" hidden="1" customHeight="1" x14ac:dyDescent="0.15">
      <c r="A187" s="355">
        <v>60</v>
      </c>
      <c r="B187" s="1392" t="s">
        <v>260</v>
      </c>
      <c r="C187" s="1392"/>
      <c r="D187" s="1392"/>
      <c r="E187" s="1392"/>
      <c r="F187" s="1393"/>
      <c r="G187" s="575"/>
      <c r="K187" s="441"/>
    </row>
    <row r="188" spans="1:11" ht="3.6" hidden="1" customHeight="1" x14ac:dyDescent="0.15">
      <c r="A188" s="355"/>
      <c r="B188" s="476"/>
      <c r="C188" s="572"/>
      <c r="D188" s="573"/>
      <c r="E188" s="573"/>
      <c r="F188" s="574"/>
      <c r="G188" s="441"/>
    </row>
    <row r="189" spans="1:11" ht="15" hidden="1" x14ac:dyDescent="0.15">
      <c r="A189" s="355"/>
      <c r="B189" s="476"/>
      <c r="C189" s="572"/>
      <c r="D189" s="573"/>
      <c r="E189" s="573"/>
      <c r="F189" s="574"/>
      <c r="G189" s="839"/>
    </row>
    <row r="190" spans="1:11" ht="27" hidden="1" customHeight="1" x14ac:dyDescent="0.15">
      <c r="A190" s="355">
        <v>61</v>
      </c>
      <c r="B190" s="1392" t="s">
        <v>260</v>
      </c>
      <c r="C190" s="1392"/>
      <c r="D190" s="1392"/>
      <c r="E190" s="1392"/>
      <c r="F190" s="1393"/>
      <c r="G190" s="575"/>
      <c r="K190" s="441"/>
    </row>
    <row r="191" spans="1:11" ht="4.5" hidden="1" customHeight="1" x14ac:dyDescent="0.15">
      <c r="A191" s="355"/>
      <c r="B191" s="438"/>
      <c r="C191" s="438"/>
      <c r="D191" s="438"/>
      <c r="E191" s="438"/>
      <c r="F191" s="438"/>
      <c r="G191" s="438"/>
      <c r="K191" s="441"/>
    </row>
    <row r="192" spans="1:11" ht="15" x14ac:dyDescent="0.15">
      <c r="A192" s="355"/>
      <c r="B192" s="476"/>
      <c r="C192" s="572"/>
      <c r="D192" s="573"/>
      <c r="E192" s="573"/>
      <c r="F192" s="574"/>
      <c r="G192" s="839" t="s">
        <v>262</v>
      </c>
      <c r="K192" s="326"/>
    </row>
    <row r="193" spans="1:11" ht="27" customHeight="1" x14ac:dyDescent="0.15">
      <c r="A193" s="355">
        <v>62</v>
      </c>
      <c r="B193" s="1392" t="s">
        <v>1184</v>
      </c>
      <c r="C193" s="1392"/>
      <c r="D193" s="1392"/>
      <c r="E193" s="1392"/>
      <c r="F193" s="1393"/>
      <c r="G193" s="850">
        <v>0</v>
      </c>
      <c r="K193" s="1291"/>
    </row>
    <row r="194" spans="1:11" ht="4.5" customHeight="1" x14ac:dyDescent="0.15">
      <c r="A194" s="355"/>
      <c r="B194" s="438"/>
      <c r="C194" s="438"/>
      <c r="D194" s="438"/>
      <c r="E194" s="438"/>
      <c r="F194" s="438"/>
      <c r="G194" s="438"/>
      <c r="K194" s="1291"/>
    </row>
    <row r="195" spans="1:11" ht="15" x14ac:dyDescent="0.15">
      <c r="A195" s="355"/>
      <c r="B195" s="476"/>
      <c r="C195" s="572"/>
      <c r="D195" s="573"/>
      <c r="E195" s="573"/>
      <c r="F195" s="574"/>
      <c r="G195" s="839" t="s">
        <v>262</v>
      </c>
      <c r="K195" s="326"/>
    </row>
    <row r="196" spans="1:11" ht="27" customHeight="1" x14ac:dyDescent="0.15">
      <c r="A196" s="355">
        <v>63</v>
      </c>
      <c r="B196" s="1392" t="s">
        <v>1185</v>
      </c>
      <c r="C196" s="1392"/>
      <c r="D196" s="1392"/>
      <c r="E196" s="1392"/>
      <c r="F196" s="1393"/>
      <c r="G196" s="850">
        <v>0</v>
      </c>
      <c r="K196" s="1291"/>
    </row>
    <row r="197" spans="1:11" ht="4.5" customHeight="1" x14ac:dyDescent="0.15">
      <c r="A197" s="355"/>
      <c r="B197" s="438"/>
      <c r="C197" s="438"/>
      <c r="D197" s="438"/>
      <c r="E197" s="438"/>
      <c r="F197" s="438"/>
      <c r="G197" s="438"/>
      <c r="K197" s="1291"/>
    </row>
    <row r="198" spans="1:11" ht="15" x14ac:dyDescent="0.15">
      <c r="A198" s="355"/>
      <c r="B198" s="476"/>
      <c r="C198" s="572"/>
      <c r="D198" s="573"/>
      <c r="E198" s="573"/>
      <c r="F198" s="574"/>
      <c r="G198" s="839" t="s">
        <v>262</v>
      </c>
      <c r="K198" s="326"/>
    </row>
    <row r="199" spans="1:11" ht="27" customHeight="1" x14ac:dyDescent="0.15">
      <c r="A199" s="355">
        <v>64</v>
      </c>
      <c r="B199" s="1392" t="s">
        <v>1085</v>
      </c>
      <c r="C199" s="1392"/>
      <c r="D199" s="1392"/>
      <c r="E199" s="1392"/>
      <c r="F199" s="1393"/>
      <c r="G199" s="850">
        <v>0</v>
      </c>
      <c r="K199" s="1291"/>
    </row>
    <row r="200" spans="1:11" ht="4.3499999999999996" hidden="1" customHeight="1" x14ac:dyDescent="0.15">
      <c r="A200" s="355"/>
      <c r="B200" s="438"/>
      <c r="C200" s="438"/>
      <c r="D200" s="438"/>
      <c r="E200" s="438"/>
      <c r="F200" s="438"/>
      <c r="G200" s="438"/>
      <c r="K200" s="441"/>
    </row>
    <row r="201" spans="1:11" ht="15" hidden="1" x14ac:dyDescent="0.15">
      <c r="A201" s="355"/>
      <c r="B201" s="476"/>
      <c r="C201" s="572"/>
      <c r="D201" s="573"/>
      <c r="E201" s="573"/>
      <c r="F201" s="574"/>
      <c r="G201" s="839"/>
    </row>
    <row r="202" spans="1:11" ht="27" hidden="1" customHeight="1" x14ac:dyDescent="0.15">
      <c r="A202" s="355">
        <v>65</v>
      </c>
      <c r="B202" s="1392" t="s">
        <v>260</v>
      </c>
      <c r="C202" s="1392"/>
      <c r="D202" s="1392"/>
      <c r="E202" s="1392"/>
      <c r="F202" s="1393"/>
      <c r="G202" s="575"/>
      <c r="K202" s="441"/>
    </row>
    <row r="203" spans="1:11" ht="4.5" hidden="1" customHeight="1" x14ac:dyDescent="0.15">
      <c r="A203" s="355"/>
      <c r="B203" s="438"/>
      <c r="C203" s="438"/>
      <c r="D203" s="438"/>
      <c r="E203" s="438"/>
      <c r="F203" s="438"/>
      <c r="G203" s="438"/>
      <c r="K203" s="441"/>
    </row>
    <row r="204" spans="1:11" ht="15" hidden="1" x14ac:dyDescent="0.15">
      <c r="A204" s="355"/>
      <c r="B204" s="476"/>
      <c r="C204" s="572"/>
      <c r="D204" s="573"/>
      <c r="E204" s="573"/>
      <c r="F204" s="574"/>
      <c r="G204" s="839"/>
    </row>
    <row r="205" spans="1:11" ht="27" hidden="1" customHeight="1" x14ac:dyDescent="0.15">
      <c r="A205" s="355">
        <v>66</v>
      </c>
      <c r="B205" s="1392" t="s">
        <v>260</v>
      </c>
      <c r="C205" s="1392"/>
      <c r="D205" s="1392"/>
      <c r="E205" s="1392"/>
      <c r="F205" s="1393"/>
      <c r="G205" s="575"/>
      <c r="K205" s="441"/>
    </row>
    <row r="206" spans="1:11" ht="4.5" hidden="1" customHeight="1" x14ac:dyDescent="0.15">
      <c r="A206" s="355"/>
      <c r="B206" s="438"/>
      <c r="C206" s="438"/>
      <c r="D206" s="438"/>
      <c r="E206" s="438"/>
      <c r="F206" s="438"/>
      <c r="G206" s="438"/>
      <c r="K206" s="441"/>
    </row>
    <row r="207" spans="1:11" ht="15" hidden="1" x14ac:dyDescent="0.15">
      <c r="A207" s="355"/>
      <c r="B207" s="476"/>
      <c r="C207" s="572"/>
      <c r="D207" s="573"/>
      <c r="E207" s="573"/>
      <c r="F207" s="574"/>
      <c r="G207" s="839"/>
    </row>
    <row r="208" spans="1:11" ht="27" hidden="1" customHeight="1" x14ac:dyDescent="0.15">
      <c r="A208" s="355">
        <v>67</v>
      </c>
      <c r="B208" s="1392" t="s">
        <v>260</v>
      </c>
      <c r="C208" s="1392"/>
      <c r="D208" s="1392"/>
      <c r="E208" s="1392"/>
      <c r="F208" s="1393"/>
      <c r="G208" s="575"/>
      <c r="K208" s="441"/>
    </row>
    <row r="209" spans="1:11" ht="15" customHeight="1" x14ac:dyDescent="0.15">
      <c r="A209" s="355"/>
      <c r="B209" s="438"/>
      <c r="C209" s="438"/>
      <c r="D209" s="438"/>
      <c r="E209" s="438"/>
      <c r="F209" s="438"/>
      <c r="G209" s="605"/>
      <c r="K209" s="441"/>
    </row>
    <row r="210" spans="1:11" ht="33" customHeight="1" x14ac:dyDescent="0.15">
      <c r="A210" s="355"/>
      <c r="B210" s="1412" t="s">
        <v>580</v>
      </c>
      <c r="C210" s="1413"/>
      <c r="D210" s="1413"/>
      <c r="E210" s="1413"/>
      <c r="F210" s="1413"/>
      <c r="G210" s="1414"/>
    </row>
    <row r="211" spans="1:11" ht="41.25" customHeight="1" x14ac:dyDescent="0.15">
      <c r="A211" s="355"/>
      <c r="B211" s="1415"/>
      <c r="C211" s="1416"/>
      <c r="D211" s="1416"/>
      <c r="E211" s="1416"/>
      <c r="F211" s="1416"/>
      <c r="G211" s="1417"/>
      <c r="K211" s="441" t="str">
        <f>IF(LEN(B211)&gt;1500,"IL NUMERO MASSIMO DI CARATTERI CONSENTITO E' 1500","")</f>
        <v/>
      </c>
    </row>
    <row r="212" spans="1:11" ht="12.75" customHeight="1" x14ac:dyDescent="0.15">
      <c r="A212" s="355"/>
      <c r="B212" s="1418"/>
      <c r="C212" s="1419"/>
      <c r="D212" s="1419"/>
      <c r="E212" s="1419"/>
      <c r="F212" s="1419"/>
      <c r="G212" s="1420"/>
      <c r="K212" s="441"/>
    </row>
    <row r="213" spans="1:11" ht="12.75" customHeight="1" x14ac:dyDescent="0.15">
      <c r="A213" s="355"/>
      <c r="B213" s="1418"/>
      <c r="C213" s="1419"/>
      <c r="D213" s="1419"/>
      <c r="E213" s="1419"/>
      <c r="F213" s="1419"/>
      <c r="G213" s="1420"/>
    </row>
    <row r="214" spans="1:11" ht="12.75" customHeight="1" x14ac:dyDescent="0.15">
      <c r="A214" s="355"/>
      <c r="B214" s="1418"/>
      <c r="C214" s="1419"/>
      <c r="D214" s="1419"/>
      <c r="E214" s="1419"/>
      <c r="F214" s="1419"/>
      <c r="G214" s="1420"/>
    </row>
    <row r="215" spans="1:11" ht="12.75" customHeight="1" x14ac:dyDescent="0.15">
      <c r="A215" s="355"/>
      <c r="B215" s="1421"/>
      <c r="C215" s="1422"/>
      <c r="D215" s="1422"/>
      <c r="E215" s="1422"/>
      <c r="F215" s="1422"/>
      <c r="G215" s="1423"/>
    </row>
    <row r="216" spans="1:11" ht="38.25" customHeight="1" x14ac:dyDescent="0.2">
      <c r="B216" s="1411" t="s">
        <v>290</v>
      </c>
      <c r="C216" s="1411"/>
      <c r="D216" s="1411"/>
      <c r="E216" s="1411"/>
      <c r="F216" s="1411"/>
      <c r="G216" s="1411"/>
    </row>
    <row r="217" spans="1:11" ht="51" customHeight="1" x14ac:dyDescent="0.15">
      <c r="C217" s="496"/>
    </row>
    <row r="218" spans="1:11" ht="38.25" customHeight="1" x14ac:dyDescent="0.2">
      <c r="B218" s="1410" t="s">
        <v>363</v>
      </c>
      <c r="C218" s="1410"/>
      <c r="D218" s="1410"/>
      <c r="E218" s="1410"/>
      <c r="F218" s="1410"/>
      <c r="G218" s="1410"/>
    </row>
    <row r="219" spans="1:11" ht="51.75" customHeight="1" x14ac:dyDescent="0.15">
      <c r="C219" s="496"/>
    </row>
    <row r="220" spans="1:11" ht="18" customHeight="1" x14ac:dyDescent="0.15">
      <c r="C220" s="496"/>
    </row>
    <row r="221" spans="1:11" ht="53.65" customHeight="1" x14ac:dyDescent="0.25">
      <c r="B221" s="1408" t="s">
        <v>407</v>
      </c>
      <c r="C221" s="1408"/>
      <c r="D221" s="1408"/>
      <c r="E221" s="1408"/>
      <c r="F221" s="1408"/>
      <c r="G221" s="1408"/>
    </row>
    <row r="222" spans="1:11" s="860" customFormat="1" x14ac:dyDescent="0.15">
      <c r="B222" s="1388" t="s">
        <v>1061</v>
      </c>
      <c r="C222" s="1388">
        <f>IF(tFAM!D5="",IF(tFAM!D15="",IF(tFAM!D25="",IF(tFAM!D35="",0,1),1),1)*1,1)</f>
        <v>1</v>
      </c>
      <c r="D222" s="886"/>
      <c r="E222" s="1388" t="s">
        <v>13</v>
      </c>
      <c r="F222" s="1388">
        <f>IF(COUNTIF('Squadratura 1'!J6:J21,"ERRORE")=0, 0,1)</f>
        <v>0</v>
      </c>
      <c r="G222" s="886"/>
    </row>
    <row r="223" spans="1:11" s="860" customFormat="1" x14ac:dyDescent="0.15">
      <c r="B223" s="1388" t="s">
        <v>12</v>
      </c>
      <c r="C223" s="1388">
        <f>IF(('t1'!$K$22+'t1'!$L$22)&gt;0,1,0)</f>
        <v>1</v>
      </c>
      <c r="D223" s="886"/>
      <c r="E223" s="1388" t="s">
        <v>15</v>
      </c>
      <c r="F223" s="1388">
        <f>IF(OR('Squadratura 2'!G23="ERRORE",'Squadratura 2'!L23="ERRORE"),1,0)</f>
        <v>0</v>
      </c>
      <c r="G223" s="886"/>
    </row>
    <row r="224" spans="1:11" s="860" customFormat="1" x14ac:dyDescent="0.15">
      <c r="B224" s="1388" t="s">
        <v>1090</v>
      </c>
      <c r="C224" s="1388">
        <f>IF(('1E'!$S$10+'1E'!$T$10)&gt;0,1,0)</f>
        <v>1</v>
      </c>
      <c r="D224" s="886"/>
      <c r="E224" s="1388" t="s">
        <v>17</v>
      </c>
      <c r="F224" s="1388">
        <f>IF(OR('Squadratura 3'!M24="ERRORE",'Squadratura 3'!N24="ERRORE",'Squadratura 3'!Y24="ERRORE",'Squadratura 3'!Z24="ERRORE"),1,0)</f>
        <v>0</v>
      </c>
      <c r="G224" s="886"/>
    </row>
    <row r="225" spans="2:11" s="860" customFormat="1" x14ac:dyDescent="0.15">
      <c r="B225" s="1388" t="s">
        <v>14</v>
      </c>
      <c r="C225" s="1388">
        <f>IF(SUM('t2'!C13:J13)&gt;0,1,0)</f>
        <v>0</v>
      </c>
      <c r="D225" s="886"/>
      <c r="E225" s="1388" t="s">
        <v>19</v>
      </c>
      <c r="F225" s="1388">
        <f>IF(COUNTIF('Squadratura 4'!I6:I21,"ERRORE")=0,0,1)</f>
        <v>0</v>
      </c>
      <c r="G225" s="886"/>
    </row>
    <row r="226" spans="2:11" s="860" customFormat="1" x14ac:dyDescent="0.15">
      <c r="B226" s="1388" t="s">
        <v>299</v>
      </c>
      <c r="C226" s="1388">
        <f>IF(t2A!$T$19&gt;0,1,0)</f>
        <v>0</v>
      </c>
      <c r="D226" s="886"/>
      <c r="E226" s="1388" t="s">
        <v>1146</v>
      </c>
      <c r="F226" s="1388">
        <f>IF(AND('SICI(1)'!$G$2="OK",'SICI(2)'!$G$2="OK",'SICI(3)'!$G$2="OK",'SICI(4)'!$G$2="OK",'SICI(5)'!$G$2="OK"),0,1)</f>
        <v>0</v>
      </c>
      <c r="G226" s="886"/>
    </row>
    <row r="227" spans="2:11" s="860" customFormat="1" x14ac:dyDescent="0.15">
      <c r="B227" s="1388" t="s">
        <v>16</v>
      </c>
      <c r="C227" s="1388">
        <f>IF(SUM('t3'!C22:P22)&gt;0,1,0)</f>
        <v>0</v>
      </c>
      <c r="D227" s="886"/>
      <c r="E227" s="1388" t="s">
        <v>1147</v>
      </c>
      <c r="F227" s="1388">
        <f>IF('Squadratura 6'!$C$4="OK",0,1)</f>
        <v>0</v>
      </c>
      <c r="G227" s="886"/>
      <c r="K227" s="861"/>
    </row>
    <row r="228" spans="2:11" s="860" customFormat="1" x14ac:dyDescent="0.15">
      <c r="B228" s="1388" t="s">
        <v>18</v>
      </c>
      <c r="C228" s="1388">
        <f>IF(('t4'!S31)&gt;0,1,0)</f>
        <v>0</v>
      </c>
      <c r="D228" s="886"/>
      <c r="E228" s="1388" t="s">
        <v>1148</v>
      </c>
      <c r="F228" s="1388">
        <f>IF(OR('t15(1)'!$H$23&lt;&gt;"OK",'t15(2)'!$H$23&lt;&gt;"OK",'t15(3)'!$H$23&lt;&gt;"OK",'t15(4)'!$H$23&lt;&gt;"OK",'t15(5)'!$H$21&lt;&gt;"OK"),1,0)</f>
        <v>0</v>
      </c>
      <c r="G228" s="1388"/>
      <c r="K228" s="861"/>
    </row>
    <row r="229" spans="2:11" s="860" customFormat="1" x14ac:dyDescent="0.15">
      <c r="B229" s="1388" t="s">
        <v>20</v>
      </c>
      <c r="C229" s="1388">
        <f>IF(('t5'!$U$23+'t5'!$V$23)&gt;0,1,0)</f>
        <v>0</v>
      </c>
      <c r="D229" s="886"/>
      <c r="E229" s="1388" t="s">
        <v>1149</v>
      </c>
      <c r="F229" s="1388">
        <f>IF(OR('t15(1)'!H6&lt;&gt;"OK",'t15(2)'!H6&lt;&gt;"OK",'t15(3)'!H6&lt;&gt;"OK",'t15(4)'!H6&lt;&gt;"OK",'t15(5)'!H6&lt;&gt;"OK"),1,0)</f>
        <v>0</v>
      </c>
      <c r="G229" s="886"/>
      <c r="K229" s="861"/>
    </row>
    <row r="230" spans="2:11" s="860" customFormat="1" x14ac:dyDescent="0.15">
      <c r="B230" s="1388" t="s">
        <v>21</v>
      </c>
      <c r="C230" s="1388">
        <f>IF(('t6'!$U$23+'t6'!$V$23)&gt;0,1,0)</f>
        <v>0</v>
      </c>
      <c r="D230" s="886"/>
      <c r="E230" s="1388" t="s">
        <v>1150</v>
      </c>
      <c r="F230" s="1388">
        <f>IF('1E'!AQ10+'1E'!AR10='1E'!AT10+'1E'!AU10,0,1)</f>
        <v>0</v>
      </c>
      <c r="G230" s="886"/>
      <c r="K230" s="861"/>
    </row>
    <row r="231" spans="2:11" s="860" customFormat="1" x14ac:dyDescent="0.15">
      <c r="B231" s="1388" t="s">
        <v>22</v>
      </c>
      <c r="C231" s="1388">
        <f>IF(('t7'!$W$22+'t7'!$X$22)&gt;0,1,0)</f>
        <v>1</v>
      </c>
      <c r="D231" s="886"/>
      <c r="E231" s="1388" t="s">
        <v>23</v>
      </c>
      <c r="F231" s="1388">
        <f>IF(COUNTIF('Incongruenze 1 e 11'!D5:D7,"OK")=3,0,1)</f>
        <v>0</v>
      </c>
      <c r="G231" s="886"/>
      <c r="K231" s="861"/>
    </row>
    <row r="232" spans="2:11" s="860" customFormat="1" x14ac:dyDescent="0.15">
      <c r="B232" s="1388" t="s">
        <v>24</v>
      </c>
      <c r="C232" s="1388">
        <f>IF(('t8'!$AA$22+'t8'!$AB$22)&gt;0,1,0)</f>
        <v>1</v>
      </c>
      <c r="D232" s="886"/>
      <c r="E232" s="1388" t="s">
        <v>25</v>
      </c>
      <c r="F232" s="1388">
        <f>IF(COUNTIF('Incongruenza 2'!I6:I21,"ERRORE")=0,0,1)</f>
        <v>0</v>
      </c>
      <c r="G232" s="886"/>
      <c r="K232" s="861"/>
    </row>
    <row r="233" spans="2:11" s="860" customFormat="1" x14ac:dyDescent="0.15">
      <c r="B233" s="1388" t="s">
        <v>26</v>
      </c>
      <c r="C233" s="1388">
        <f>IF(('t9'!$O$22+'t9'!$P$22)&gt;0,1,0)</f>
        <v>1</v>
      </c>
      <c r="D233" s="886"/>
      <c r="E233" s="1388" t="s">
        <v>543</v>
      </c>
      <c r="F233" s="1388">
        <f ca="1">IF(AND('Incongruenza 3'!D5="OK",'Incongruenza 3'!E5="OK",'Incongruenza 3'!F5="OK",'Incongruenza 3'!G5="OK"),0,1)</f>
        <v>0</v>
      </c>
      <c r="G233" s="886"/>
      <c r="K233" s="861"/>
    </row>
    <row r="234" spans="2:11" s="860" customFormat="1" x14ac:dyDescent="0.15">
      <c r="B234" s="1388" t="s">
        <v>28</v>
      </c>
      <c r="C234" s="1388">
        <f>IF(('t10'!$AU$22+'t10'!$AV$22)&gt;0,1,0)</f>
        <v>1</v>
      </c>
      <c r="D234" s="886"/>
      <c r="E234" s="1388" t="s">
        <v>27</v>
      </c>
      <c r="F234" s="1388">
        <f>IF(OR(AND('Incongruenza 4 e controlli t14'!F21=" ",'Incongruenza 4 e controlli t14'!F23=" "),AND('Incongruenza 4 e controlli t14'!F21="OK",'Incongruenza 4 e controlli t14'!F23="OK"),AND('Incongruenza 4 e controlli t14'!F23="E' stata dichiarata IRAP Commerciale")),0,1)</f>
        <v>0</v>
      </c>
      <c r="G234" s="886"/>
      <c r="K234" s="861"/>
    </row>
    <row r="235" spans="2:11" s="860" customFormat="1" x14ac:dyDescent="0.15">
      <c r="B235" s="1388" t="s">
        <v>30</v>
      </c>
      <c r="C235" s="1388">
        <f>IF(('t11'!$Y$24+'t11'!$Z$24)&gt;0,1,0)</f>
        <v>1</v>
      </c>
      <c r="D235" s="886"/>
      <c r="E235" s="1388" t="s">
        <v>29</v>
      </c>
      <c r="F235" s="1388">
        <f>IF(COUNTIF('Incongruenza 5'!G6:G21,"ERRORE")=0,0,1)</f>
        <v>0</v>
      </c>
      <c r="G235" s="886"/>
    </row>
    <row r="236" spans="2:11" s="860" customFormat="1" x14ac:dyDescent="0.15">
      <c r="B236" s="1388" t="s">
        <v>32</v>
      </c>
      <c r="C236" s="1388">
        <f>IF(('t12'!$K$22+'t12'!$C$22)&gt;0,1,0)</f>
        <v>1</v>
      </c>
      <c r="D236" s="886"/>
      <c r="E236" s="1388" t="s">
        <v>31</v>
      </c>
      <c r="F236" s="1388">
        <f>IF(COUNTIF('Incongruenza 6'!E6:E21,"ERRORE")=0,0,1)</f>
        <v>0</v>
      </c>
      <c r="G236" s="886"/>
    </row>
    <row r="237" spans="2:11" s="860" customFormat="1" x14ac:dyDescent="0.15">
      <c r="B237" s="1388" t="s">
        <v>34</v>
      </c>
      <c r="C237" s="1388">
        <f>IF(('t13'!$V$22)&gt;0,1,0)</f>
        <v>1</v>
      </c>
      <c r="D237" s="886"/>
      <c r="E237" s="1388" t="s">
        <v>33</v>
      </c>
      <c r="F237" s="1388">
        <f>IF(COUNTIF('Incongruenza 7'!I6:I21,"ERRORE")=0,0,1)</f>
        <v>0</v>
      </c>
      <c r="G237" s="886"/>
    </row>
    <row r="238" spans="2:11" s="860" customFormat="1" x14ac:dyDescent="0.15">
      <c r="B238" s="1388" t="s">
        <v>35</v>
      </c>
      <c r="C238" s="1388">
        <f>IF(('Incongruenza 4 e controlli t14'!$C$31)&gt;0,1,0)</f>
        <v>1</v>
      </c>
      <c r="D238" s="886"/>
      <c r="E238" s="1388" t="s">
        <v>381</v>
      </c>
      <c r="F238" s="1388">
        <f>IF(COUNTIF('Incongruenza 8'!J6:J21,"ERRORE")=0,0,1)</f>
        <v>0</v>
      </c>
      <c r="G238" s="886"/>
    </row>
    <row r="239" spans="2:11" s="860" customFormat="1" x14ac:dyDescent="0.15">
      <c r="B239" s="1388" t="s">
        <v>36</v>
      </c>
      <c r="C239" s="1388">
        <f>IF(('t15(1)'!$C$40+'t15(1)'!$G$40+'t15(2)'!$C$43+'t15(2)'!$G$43+'t15(3)'!$C$42+'t15(3)'!$G$42+'t15(4)'!$C$44+'t15(4)'!$G$44+'t15(5)'!$C$53+'t15(5)'!$G$53)&gt;0,1,0)</f>
        <v>0</v>
      </c>
      <c r="D239" s="886"/>
      <c r="E239" s="1388" t="s">
        <v>577</v>
      </c>
      <c r="F239" s="1388">
        <f>IF(OR('t15(1)'!H13&lt;&gt;"OK",'t15(2)'!H13&lt;&gt;"OK",'t15(3)'!H13&lt;&gt;"OK",'t15(4)'!H13&lt;&gt;"OK",'t15(5)'!H13&lt;&gt;"OK"),1,0)</f>
        <v>0</v>
      </c>
      <c r="G239" s="886"/>
    </row>
    <row r="240" spans="2:11" s="860" customFormat="1" x14ac:dyDescent="0.15">
      <c r="B240" s="1388" t="s">
        <v>707</v>
      </c>
      <c r="C240" s="1388">
        <f>IF(('SICI(1)'!N8+'SICI(2)'!N8+'SICI(3)'!N8+'SICI(4)'!N8)+'SICI(5)'!N8&gt;0,1,0)</f>
        <v>0</v>
      </c>
      <c r="D240" s="886"/>
      <c r="E240" s="1388" t="s">
        <v>588</v>
      </c>
      <c r="F240" s="1388">
        <f>IF(COUNTIF('Incongruenza 10'!K13:L13,"OK")=2,0,1)</f>
        <v>0</v>
      </c>
      <c r="G240" s="886"/>
    </row>
    <row r="241" spans="1:7" s="860" customFormat="1" x14ac:dyDescent="0.15">
      <c r="B241" s="1388" t="s">
        <v>542</v>
      </c>
      <c r="C241" s="1388">
        <f>IF(('Tabella Riconciliazione'!$F$32)&gt;0,1,0)</f>
        <v>1</v>
      </c>
      <c r="D241" s="886"/>
      <c r="E241" s="1388" t="s">
        <v>624</v>
      </c>
      <c r="F241" s="1388">
        <f>IF(COUNTIF('Incongruenze 1 e 11'!D13:D20,"OK")=6,0,1)</f>
        <v>0</v>
      </c>
      <c r="G241" s="886"/>
    </row>
    <row r="242" spans="1:7" s="860" customFormat="1" x14ac:dyDescent="0.15">
      <c r="B242" s="886"/>
      <c r="C242" s="886"/>
      <c r="D242" s="886"/>
      <c r="E242" s="1388" t="s">
        <v>625</v>
      </c>
      <c r="F242" s="1388">
        <f>IF(COUNTIF('Incongruenze 12 e 13'!D13:D14,"OK")=2,0,1)</f>
        <v>0</v>
      </c>
      <c r="G242" s="886"/>
    </row>
    <row r="243" spans="1:7" s="860" customFormat="1" x14ac:dyDescent="0.15">
      <c r="B243" s="886"/>
      <c r="C243" s="886"/>
      <c r="D243" s="886"/>
      <c r="E243" s="1388" t="s">
        <v>626</v>
      </c>
      <c r="F243" s="1388">
        <f>IF(COUNTIF('Incongruenze 12 e 13'!D20,"OK")=1,0,1)</f>
        <v>0</v>
      </c>
      <c r="G243" s="886"/>
    </row>
    <row r="244" spans="1:7" s="860" customFormat="1" x14ac:dyDescent="0.15">
      <c r="B244" s="886"/>
      <c r="C244" s="886"/>
      <c r="D244" s="886"/>
      <c r="E244" s="1388" t="s">
        <v>627</v>
      </c>
      <c r="F244" s="1388">
        <f>IF(COUNTIF('Incongruenza 14'!G6:G36,"ERRORE")=0,0,1)</f>
        <v>0</v>
      </c>
      <c r="G244" s="886"/>
    </row>
    <row r="245" spans="1:7" s="860" customFormat="1" x14ac:dyDescent="0.15">
      <c r="B245" s="886"/>
      <c r="C245" s="886"/>
      <c r="D245" s="886"/>
      <c r="E245" s="1388" t="s">
        <v>628</v>
      </c>
      <c r="F245" s="1388">
        <f>IF(AND('Incongruenza 15'!$D$5="OK",'Incongruenza 15'!$E$5="OK",'Incongruenza 15'!$F$5="OK",'Incongruenza 15'!$G$5="OK",'Incongruenza 15'!$H$5="OK"),0,1)</f>
        <v>0</v>
      </c>
      <c r="G245" s="886"/>
    </row>
    <row r="246" spans="1:7" s="860" customFormat="1" x14ac:dyDescent="0.15">
      <c r="B246" s="886"/>
      <c r="C246" s="886"/>
      <c r="D246" s="886"/>
      <c r="E246" s="1388" t="s">
        <v>629</v>
      </c>
      <c r="F246" s="1388">
        <f>IF(OR('SICI(1)'!G5&lt;&gt;"OK",'SICI(2)'!G5&lt;&gt;"OK",'SICI(3)'!G5&lt;&gt;"OK",'SICI(4)'!G5&lt;&gt;"OK",'SICI(5)'!G5&lt;&gt;"OK"),1,0)</f>
        <v>0</v>
      </c>
      <c r="G246" s="886"/>
    </row>
    <row r="247" spans="1:7" x14ac:dyDescent="0.15">
      <c r="A247" s="860"/>
      <c r="B247" s="886"/>
      <c r="C247" s="886"/>
      <c r="D247" s="886"/>
      <c r="E247" s="1388" t="s">
        <v>828</v>
      </c>
      <c r="F247" s="1388">
        <f>IF(COUNTIF('1E'!AW10:AX10,"ERRORE")=0,0,1)</f>
        <v>0</v>
      </c>
      <c r="G247" s="886"/>
    </row>
    <row r="248" spans="1:7" x14ac:dyDescent="0.15">
      <c r="A248" s="860"/>
      <c r="B248" s="886"/>
      <c r="C248" s="886"/>
      <c r="D248" s="886"/>
      <c r="E248" s="886"/>
      <c r="F248" s="886"/>
      <c r="G248" s="886"/>
    </row>
    <row r="249" spans="1:7" x14ac:dyDescent="0.15">
      <c r="A249" s="860"/>
      <c r="B249" s="886"/>
      <c r="C249" s="886"/>
      <c r="D249" s="886"/>
      <c r="E249" s="886"/>
      <c r="F249" s="886"/>
      <c r="G249" s="886"/>
    </row>
    <row r="250" spans="1:7" x14ac:dyDescent="0.15">
      <c r="A250" s="860"/>
      <c r="B250" s="886"/>
      <c r="C250" s="886"/>
      <c r="D250" s="886"/>
      <c r="E250" s="886"/>
      <c r="F250" s="886"/>
      <c r="G250" s="886"/>
    </row>
    <row r="251" spans="1:7" x14ac:dyDescent="0.15">
      <c r="A251" s="860"/>
      <c r="B251" s="886"/>
      <c r="C251" s="886"/>
      <c r="D251" s="886"/>
      <c r="E251" s="886"/>
      <c r="F251" s="886"/>
      <c r="G251" s="886"/>
    </row>
    <row r="252" spans="1:7" x14ac:dyDescent="0.15">
      <c r="A252" s="860"/>
      <c r="B252" s="886"/>
      <c r="C252" s="886"/>
      <c r="D252" s="886"/>
      <c r="E252" s="886"/>
      <c r="F252" s="886"/>
      <c r="G252" s="886"/>
    </row>
    <row r="253" spans="1:7" x14ac:dyDescent="0.15">
      <c r="A253" s="860"/>
      <c r="B253" s="886"/>
      <c r="C253" s="886"/>
      <c r="D253" s="886"/>
      <c r="E253" s="886"/>
      <c r="F253" s="886"/>
      <c r="G253" s="886"/>
    </row>
    <row r="254" spans="1:7" x14ac:dyDescent="0.15">
      <c r="A254" s="860"/>
      <c r="B254" s="886"/>
      <c r="C254" s="886"/>
      <c r="D254" s="886"/>
      <c r="E254" s="886"/>
      <c r="F254" s="886"/>
      <c r="G254" s="886"/>
    </row>
    <row r="255" spans="1:7" x14ac:dyDescent="0.15">
      <c r="A255" s="860"/>
      <c r="B255" s="886"/>
      <c r="C255" s="886"/>
      <c r="D255" s="886"/>
      <c r="E255" s="886"/>
      <c r="F255" s="886"/>
      <c r="G255" s="886"/>
    </row>
    <row r="256" spans="1:7" x14ac:dyDescent="0.15">
      <c r="A256" s="860"/>
      <c r="B256" s="886"/>
      <c r="C256" s="886"/>
      <c r="D256" s="886"/>
      <c r="E256" s="886"/>
      <c r="F256" s="886"/>
      <c r="G256" s="886"/>
    </row>
    <row r="257" spans="1:7" x14ac:dyDescent="0.15">
      <c r="A257" s="860"/>
      <c r="B257" s="886"/>
      <c r="C257" s="886"/>
      <c r="D257" s="886"/>
      <c r="E257" s="886"/>
      <c r="F257" s="886"/>
      <c r="G257" s="886"/>
    </row>
    <row r="258" spans="1:7" x14ac:dyDescent="0.15">
      <c r="A258" s="860"/>
      <c r="B258" s="886"/>
      <c r="C258" s="886"/>
      <c r="D258" s="886"/>
      <c r="E258" s="886"/>
      <c r="F258" s="886"/>
      <c r="G258" s="886"/>
    </row>
    <row r="259" spans="1:7" x14ac:dyDescent="0.15">
      <c r="A259" s="860"/>
      <c r="B259" s="886"/>
      <c r="C259" s="886"/>
      <c r="D259" s="886"/>
      <c r="E259" s="886"/>
      <c r="F259" s="886"/>
      <c r="G259" s="886"/>
    </row>
    <row r="260" spans="1:7" x14ac:dyDescent="0.15">
      <c r="A260" s="860"/>
      <c r="B260" s="886"/>
      <c r="C260" s="886"/>
      <c r="D260" s="886"/>
      <c r="E260" s="886"/>
      <c r="F260" s="886"/>
      <c r="G260" s="886"/>
    </row>
    <row r="261" spans="1:7" x14ac:dyDescent="0.15">
      <c r="B261" s="605"/>
      <c r="C261" s="605"/>
      <c r="D261" s="605"/>
      <c r="E261" s="605"/>
      <c r="F261" s="605"/>
      <c r="G261" s="605"/>
    </row>
    <row r="262" spans="1:7" x14ac:dyDescent="0.15">
      <c r="B262" s="605"/>
      <c r="C262" s="605"/>
      <c r="D262" s="605"/>
      <c r="E262" s="605"/>
      <c r="F262" s="605"/>
      <c r="G262" s="605"/>
    </row>
    <row r="263" spans="1:7" x14ac:dyDescent="0.15">
      <c r="B263" s="605"/>
      <c r="C263" s="605"/>
      <c r="D263" s="605"/>
      <c r="E263" s="605"/>
      <c r="F263" s="605"/>
      <c r="G263" s="605"/>
    </row>
    <row r="264" spans="1:7" x14ac:dyDescent="0.15">
      <c r="B264" s="605"/>
      <c r="C264" s="605"/>
      <c r="D264" s="605"/>
      <c r="E264" s="605"/>
      <c r="F264" s="605"/>
      <c r="G264" s="605"/>
    </row>
    <row r="265" spans="1:7" x14ac:dyDescent="0.15">
      <c r="B265" s="605"/>
      <c r="C265" s="605"/>
      <c r="D265" s="605"/>
      <c r="E265" s="605"/>
      <c r="F265" s="605"/>
      <c r="G265" s="605"/>
    </row>
    <row r="266" spans="1:7" x14ac:dyDescent="0.15">
      <c r="B266" s="605"/>
      <c r="C266" s="605"/>
      <c r="D266" s="605"/>
      <c r="E266" s="605"/>
      <c r="F266" s="605"/>
      <c r="G266" s="605"/>
    </row>
    <row r="267" spans="1:7" x14ac:dyDescent="0.15">
      <c r="B267" s="605"/>
      <c r="C267" s="605"/>
      <c r="D267" s="605"/>
      <c r="E267" s="605"/>
      <c r="F267" s="605"/>
      <c r="G267" s="605"/>
    </row>
    <row r="268" spans="1:7" x14ac:dyDescent="0.15">
      <c r="B268" s="605"/>
      <c r="C268" s="605"/>
      <c r="D268" s="605"/>
      <c r="E268" s="605"/>
      <c r="F268" s="605"/>
      <c r="G268" s="605"/>
    </row>
    <row r="269" spans="1:7" x14ac:dyDescent="0.15">
      <c r="B269" s="605"/>
      <c r="C269" s="605"/>
      <c r="D269" s="605"/>
      <c r="E269" s="605"/>
      <c r="F269" s="605"/>
      <c r="G269" s="605"/>
    </row>
    <row r="270" spans="1:7" x14ac:dyDescent="0.15">
      <c r="B270" s="605"/>
      <c r="C270" s="605"/>
      <c r="D270" s="605"/>
      <c r="E270" s="605"/>
      <c r="F270" s="605"/>
      <c r="G270" s="605"/>
    </row>
    <row r="271" spans="1:7" x14ac:dyDescent="0.15">
      <c r="B271" s="605"/>
      <c r="C271" s="605"/>
      <c r="D271" s="605"/>
      <c r="E271" s="605"/>
      <c r="F271" s="605"/>
      <c r="G271" s="605"/>
    </row>
    <row r="272" spans="1:7" x14ac:dyDescent="0.15">
      <c r="B272" s="605"/>
      <c r="C272" s="605"/>
      <c r="D272" s="605"/>
      <c r="E272" s="605"/>
      <c r="F272" s="605"/>
      <c r="G272" s="605"/>
    </row>
    <row r="273" spans="2:7" x14ac:dyDescent="0.15">
      <c r="B273" s="605"/>
      <c r="C273" s="605"/>
      <c r="D273" s="605"/>
      <c r="E273" s="605"/>
      <c r="F273" s="605"/>
      <c r="G273" s="605"/>
    </row>
    <row r="274" spans="2:7" x14ac:dyDescent="0.15">
      <c r="B274" s="605"/>
      <c r="C274" s="605"/>
      <c r="D274" s="605"/>
      <c r="E274" s="605"/>
      <c r="F274" s="605"/>
      <c r="G274" s="605"/>
    </row>
    <row r="275" spans="2:7" x14ac:dyDescent="0.15">
      <c r="B275" s="605"/>
      <c r="C275" s="605"/>
      <c r="D275" s="605"/>
      <c r="E275" s="605"/>
      <c r="F275" s="605"/>
      <c r="G275" s="605"/>
    </row>
    <row r="276" spans="2:7" x14ac:dyDescent="0.15">
      <c r="B276" s="605"/>
      <c r="C276" s="605"/>
      <c r="D276" s="605"/>
      <c r="E276" s="605"/>
      <c r="F276" s="605"/>
      <c r="G276" s="605"/>
    </row>
    <row r="277" spans="2:7" x14ac:dyDescent="0.15">
      <c r="B277" s="605"/>
      <c r="C277" s="605"/>
      <c r="D277" s="605"/>
      <c r="E277" s="605"/>
      <c r="F277" s="605"/>
      <c r="G277" s="605"/>
    </row>
    <row r="278" spans="2:7" x14ac:dyDescent="0.15">
      <c r="B278" s="605"/>
      <c r="C278" s="605"/>
      <c r="D278" s="605"/>
      <c r="E278" s="605"/>
      <c r="F278" s="605"/>
      <c r="G278" s="605"/>
    </row>
    <row r="279" spans="2:7" x14ac:dyDescent="0.15">
      <c r="B279" s="605"/>
      <c r="C279" s="605"/>
      <c r="D279" s="605"/>
      <c r="E279" s="605"/>
      <c r="F279" s="605"/>
      <c r="G279" s="605"/>
    </row>
    <row r="280" spans="2:7" x14ac:dyDescent="0.15">
      <c r="B280" s="605"/>
      <c r="C280" s="605"/>
      <c r="D280" s="605"/>
      <c r="E280" s="605"/>
      <c r="F280" s="605"/>
      <c r="G280" s="605"/>
    </row>
    <row r="281" spans="2:7" x14ac:dyDescent="0.15">
      <c r="B281" s="605"/>
      <c r="C281" s="605"/>
      <c r="D281" s="605"/>
      <c r="E281" s="605"/>
      <c r="F281" s="605"/>
      <c r="G281" s="605"/>
    </row>
    <row r="282" spans="2:7" x14ac:dyDescent="0.15">
      <c r="B282" s="605"/>
      <c r="C282" s="605"/>
      <c r="D282" s="605"/>
      <c r="E282" s="605"/>
      <c r="F282" s="605"/>
      <c r="G282" s="605"/>
    </row>
    <row r="283" spans="2:7" x14ac:dyDescent="0.15">
      <c r="B283" s="605"/>
      <c r="C283" s="605"/>
      <c r="D283" s="605"/>
      <c r="E283" s="605"/>
      <c r="F283" s="605"/>
      <c r="G283" s="605"/>
    </row>
    <row r="284" spans="2:7" x14ac:dyDescent="0.15">
      <c r="B284" s="605"/>
      <c r="C284" s="605"/>
      <c r="D284" s="605"/>
      <c r="E284" s="605"/>
      <c r="F284" s="605"/>
      <c r="G284" s="605"/>
    </row>
    <row r="285" spans="2:7" x14ac:dyDescent="0.15">
      <c r="B285" s="605"/>
      <c r="C285" s="605"/>
      <c r="D285" s="605"/>
      <c r="E285" s="605"/>
      <c r="F285" s="605"/>
      <c r="G285" s="605"/>
    </row>
    <row r="286" spans="2:7" x14ac:dyDescent="0.15">
      <c r="B286" s="605"/>
      <c r="C286" s="605"/>
      <c r="D286" s="605"/>
      <c r="E286" s="605"/>
      <c r="F286" s="605"/>
      <c r="G286" s="605"/>
    </row>
    <row r="287" spans="2:7" x14ac:dyDescent="0.15">
      <c r="B287" s="605"/>
      <c r="C287" s="605"/>
      <c r="D287" s="605"/>
      <c r="E287" s="605"/>
      <c r="F287" s="605"/>
      <c r="G287" s="605"/>
    </row>
    <row r="288" spans="2:7" x14ac:dyDescent="0.15">
      <c r="B288" s="605"/>
      <c r="C288" s="605"/>
      <c r="D288" s="605"/>
      <c r="E288" s="605"/>
      <c r="F288" s="605"/>
      <c r="G288" s="605"/>
    </row>
    <row r="289" spans="2:7" x14ac:dyDescent="0.15">
      <c r="B289" s="605"/>
      <c r="C289" s="605"/>
      <c r="D289" s="605"/>
      <c r="E289" s="605"/>
      <c r="F289" s="605"/>
      <c r="G289" s="605"/>
    </row>
    <row r="290" spans="2:7" x14ac:dyDescent="0.15">
      <c r="B290" s="605"/>
      <c r="C290" s="605"/>
      <c r="D290" s="605"/>
      <c r="E290" s="605"/>
      <c r="F290" s="605"/>
      <c r="G290" s="605"/>
    </row>
    <row r="291" spans="2:7" x14ac:dyDescent="0.15">
      <c r="B291" s="605"/>
      <c r="C291" s="605"/>
      <c r="D291" s="605"/>
      <c r="E291" s="605"/>
      <c r="F291" s="605"/>
      <c r="G291" s="605"/>
    </row>
    <row r="292" spans="2:7" x14ac:dyDescent="0.15">
      <c r="B292" s="605"/>
      <c r="C292" s="605"/>
      <c r="D292" s="605"/>
      <c r="E292" s="605"/>
      <c r="F292" s="605"/>
      <c r="G292" s="605"/>
    </row>
    <row r="293" spans="2:7" x14ac:dyDescent="0.15">
      <c r="B293" s="605"/>
      <c r="C293" s="605"/>
      <c r="D293" s="605"/>
      <c r="E293" s="605"/>
      <c r="F293" s="605"/>
      <c r="G293" s="605"/>
    </row>
    <row r="294" spans="2:7" x14ac:dyDescent="0.15">
      <c r="B294" s="605"/>
      <c r="C294" s="605"/>
      <c r="D294" s="605"/>
      <c r="E294" s="605"/>
      <c r="F294" s="605"/>
      <c r="G294" s="605"/>
    </row>
    <row r="295" spans="2:7" x14ac:dyDescent="0.15">
      <c r="B295" s="605"/>
      <c r="C295" s="605"/>
      <c r="D295" s="605"/>
      <c r="E295" s="605"/>
      <c r="F295" s="605"/>
      <c r="G295" s="605"/>
    </row>
    <row r="296" spans="2:7" x14ac:dyDescent="0.15">
      <c r="B296" s="605"/>
      <c r="C296" s="605"/>
      <c r="D296" s="605"/>
      <c r="E296" s="605"/>
      <c r="F296" s="605"/>
      <c r="G296" s="605"/>
    </row>
    <row r="297" spans="2:7" x14ac:dyDescent="0.15">
      <c r="B297" s="605"/>
      <c r="C297" s="605"/>
      <c r="D297" s="605"/>
      <c r="E297" s="605"/>
      <c r="F297" s="605"/>
      <c r="G297" s="605"/>
    </row>
    <row r="298" spans="2:7" x14ac:dyDescent="0.15">
      <c r="B298" s="605"/>
      <c r="C298" s="605"/>
      <c r="D298" s="605"/>
      <c r="E298" s="605"/>
      <c r="F298" s="605"/>
      <c r="G298" s="605"/>
    </row>
    <row r="299" spans="2:7" x14ac:dyDescent="0.15">
      <c r="B299" s="605"/>
      <c r="C299" s="605"/>
      <c r="D299" s="605"/>
      <c r="E299" s="605"/>
      <c r="F299" s="605"/>
      <c r="G299" s="605"/>
    </row>
    <row r="300" spans="2:7" x14ac:dyDescent="0.15">
      <c r="B300" s="605"/>
      <c r="C300" s="605"/>
      <c r="D300" s="605"/>
      <c r="E300" s="605"/>
      <c r="F300" s="605"/>
      <c r="G300" s="605"/>
    </row>
    <row r="301" spans="2:7" x14ac:dyDescent="0.15">
      <c r="B301" s="605"/>
      <c r="C301" s="605"/>
      <c r="D301" s="605"/>
      <c r="E301" s="605"/>
      <c r="F301" s="605"/>
      <c r="G301" s="605"/>
    </row>
    <row r="302" spans="2:7" x14ac:dyDescent="0.15">
      <c r="B302" s="605"/>
      <c r="C302" s="605"/>
      <c r="D302" s="605"/>
      <c r="E302" s="605"/>
      <c r="F302" s="605"/>
      <c r="G302" s="605"/>
    </row>
    <row r="303" spans="2:7" x14ac:dyDescent="0.15">
      <c r="B303" s="605"/>
      <c r="C303" s="605"/>
      <c r="D303" s="605"/>
      <c r="E303" s="605"/>
      <c r="F303" s="605"/>
      <c r="G303" s="605"/>
    </row>
    <row r="304" spans="2:7" x14ac:dyDescent="0.15">
      <c r="B304" s="605"/>
      <c r="C304" s="605"/>
      <c r="D304" s="605"/>
      <c r="E304" s="605"/>
      <c r="F304" s="605"/>
      <c r="G304" s="605"/>
    </row>
    <row r="305" spans="2:7" x14ac:dyDescent="0.15">
      <c r="B305" s="605"/>
      <c r="C305" s="605"/>
      <c r="D305" s="605"/>
      <c r="E305" s="605"/>
      <c r="F305" s="605"/>
      <c r="G305" s="605"/>
    </row>
    <row r="306" spans="2:7" x14ac:dyDescent="0.15">
      <c r="B306" s="605"/>
      <c r="C306" s="605"/>
      <c r="D306" s="605"/>
      <c r="E306" s="605"/>
      <c r="F306" s="605"/>
      <c r="G306" s="605"/>
    </row>
    <row r="307" spans="2:7" x14ac:dyDescent="0.15">
      <c r="B307" s="605"/>
      <c r="C307" s="605"/>
      <c r="D307" s="605"/>
      <c r="E307" s="605"/>
      <c r="F307" s="605"/>
      <c r="G307" s="605"/>
    </row>
    <row r="308" spans="2:7" x14ac:dyDescent="0.15">
      <c r="B308" s="605"/>
      <c r="C308" s="605"/>
      <c r="D308" s="605"/>
      <c r="E308" s="605"/>
      <c r="F308" s="605"/>
      <c r="G308" s="605"/>
    </row>
    <row r="309" spans="2:7" x14ac:dyDescent="0.15">
      <c r="B309" s="605"/>
      <c r="C309" s="605"/>
      <c r="D309" s="605"/>
      <c r="E309" s="605"/>
      <c r="F309" s="605"/>
      <c r="G309" s="605"/>
    </row>
    <row r="310" spans="2:7" x14ac:dyDescent="0.15">
      <c r="B310" s="605"/>
      <c r="C310" s="605"/>
      <c r="D310" s="605"/>
      <c r="E310" s="605"/>
      <c r="F310" s="605"/>
      <c r="G310" s="605"/>
    </row>
    <row r="311" spans="2:7" x14ac:dyDescent="0.15">
      <c r="B311" s="605"/>
      <c r="C311" s="605"/>
      <c r="D311" s="605"/>
      <c r="E311" s="605"/>
      <c r="F311" s="605"/>
      <c r="G311" s="605"/>
    </row>
    <row r="312" spans="2:7" x14ac:dyDescent="0.15">
      <c r="B312" s="605"/>
      <c r="C312" s="605"/>
      <c r="D312" s="605"/>
      <c r="E312" s="605"/>
      <c r="F312" s="605"/>
      <c r="G312" s="605"/>
    </row>
    <row r="313" spans="2:7" x14ac:dyDescent="0.15">
      <c r="B313" s="605"/>
      <c r="C313" s="605"/>
      <c r="D313" s="605"/>
      <c r="E313" s="605"/>
      <c r="F313" s="605"/>
      <c r="G313" s="605"/>
    </row>
    <row r="314" spans="2:7" x14ac:dyDescent="0.15">
      <c r="B314" s="605"/>
      <c r="C314" s="605"/>
      <c r="D314" s="605"/>
      <c r="E314" s="605"/>
      <c r="F314" s="605"/>
      <c r="G314" s="605"/>
    </row>
    <row r="315" spans="2:7" x14ac:dyDescent="0.15">
      <c r="B315" s="605"/>
      <c r="C315" s="605"/>
      <c r="D315" s="605"/>
      <c r="E315" s="605"/>
      <c r="F315" s="605"/>
      <c r="G315" s="605"/>
    </row>
    <row r="316" spans="2:7" x14ac:dyDescent="0.15">
      <c r="B316" s="605"/>
      <c r="C316" s="605"/>
      <c r="D316" s="605"/>
      <c r="E316" s="605"/>
      <c r="F316" s="605"/>
      <c r="G316" s="605"/>
    </row>
    <row r="317" spans="2:7" x14ac:dyDescent="0.15">
      <c r="B317" s="605"/>
      <c r="C317" s="605"/>
      <c r="D317" s="605"/>
      <c r="E317" s="605"/>
      <c r="F317" s="605"/>
      <c r="G317" s="605"/>
    </row>
    <row r="318" spans="2:7" x14ac:dyDescent="0.15">
      <c r="B318" s="605"/>
      <c r="C318" s="605"/>
      <c r="D318" s="605"/>
      <c r="E318" s="605"/>
      <c r="F318" s="605"/>
      <c r="G318" s="605"/>
    </row>
    <row r="319" spans="2:7" x14ac:dyDescent="0.15">
      <c r="B319" s="605"/>
      <c r="C319" s="605"/>
      <c r="D319" s="605"/>
      <c r="E319" s="605"/>
      <c r="F319" s="605"/>
      <c r="G319" s="605"/>
    </row>
    <row r="320" spans="2:7" x14ac:dyDescent="0.15">
      <c r="B320" s="605"/>
      <c r="C320" s="605"/>
      <c r="D320" s="605"/>
      <c r="E320" s="605"/>
      <c r="F320" s="605"/>
      <c r="G320" s="605"/>
    </row>
    <row r="321" spans="2:7" x14ac:dyDescent="0.15">
      <c r="B321" s="605"/>
      <c r="C321" s="605"/>
      <c r="D321" s="605"/>
      <c r="E321" s="605"/>
      <c r="F321" s="605"/>
      <c r="G321" s="605"/>
    </row>
    <row r="322" spans="2:7" x14ac:dyDescent="0.15">
      <c r="B322" s="605"/>
      <c r="C322" s="605"/>
      <c r="D322" s="605"/>
      <c r="E322" s="605"/>
      <c r="F322" s="605"/>
      <c r="G322" s="605"/>
    </row>
    <row r="323" spans="2:7" x14ac:dyDescent="0.15">
      <c r="B323" s="605"/>
      <c r="C323" s="605"/>
      <c r="D323" s="605"/>
      <c r="E323" s="605"/>
      <c r="F323" s="605"/>
      <c r="G323" s="605"/>
    </row>
    <row r="324" spans="2:7" x14ac:dyDescent="0.15">
      <c r="B324" s="605"/>
      <c r="C324" s="605"/>
      <c r="D324" s="605"/>
      <c r="E324" s="605"/>
      <c r="F324" s="605"/>
      <c r="G324" s="605"/>
    </row>
    <row r="325" spans="2:7" x14ac:dyDescent="0.15">
      <c r="B325" s="605"/>
      <c r="C325" s="605"/>
      <c r="D325" s="605"/>
      <c r="E325" s="605"/>
      <c r="F325" s="605"/>
      <c r="G325" s="605"/>
    </row>
    <row r="326" spans="2:7" x14ac:dyDescent="0.15">
      <c r="B326" s="605"/>
      <c r="C326" s="605"/>
      <c r="D326" s="605"/>
      <c r="E326" s="605"/>
      <c r="F326" s="605"/>
      <c r="G326" s="605"/>
    </row>
    <row r="327" spans="2:7" x14ac:dyDescent="0.15">
      <c r="B327" s="605"/>
      <c r="C327" s="605"/>
      <c r="D327" s="605"/>
      <c r="E327" s="605"/>
      <c r="F327" s="605"/>
      <c r="G327" s="605"/>
    </row>
    <row r="328" spans="2:7" x14ac:dyDescent="0.15">
      <c r="B328" s="605"/>
      <c r="C328" s="605"/>
      <c r="D328" s="605"/>
      <c r="E328" s="605"/>
      <c r="F328" s="605"/>
      <c r="G328" s="605"/>
    </row>
    <row r="329" spans="2:7" x14ac:dyDescent="0.15">
      <c r="B329" s="605"/>
      <c r="C329" s="605"/>
      <c r="D329" s="605"/>
      <c r="E329" s="605"/>
      <c r="F329" s="605"/>
      <c r="G329" s="605"/>
    </row>
    <row r="330" spans="2:7" x14ac:dyDescent="0.15">
      <c r="B330" s="605"/>
      <c r="C330" s="605"/>
      <c r="D330" s="605"/>
      <c r="E330" s="605"/>
      <c r="F330" s="605"/>
      <c r="G330" s="605"/>
    </row>
    <row r="331" spans="2:7" x14ac:dyDescent="0.15">
      <c r="B331" s="605"/>
      <c r="C331" s="605"/>
      <c r="D331" s="605"/>
      <c r="E331" s="605"/>
      <c r="F331" s="605"/>
      <c r="G331" s="605"/>
    </row>
    <row r="332" spans="2:7" x14ac:dyDescent="0.15">
      <c r="B332" s="605"/>
      <c r="C332" s="605"/>
      <c r="D332" s="605"/>
      <c r="E332" s="605"/>
      <c r="F332" s="605"/>
      <c r="G332" s="605"/>
    </row>
    <row r="333" spans="2:7" x14ac:dyDescent="0.15">
      <c r="B333" s="605"/>
      <c r="C333" s="605"/>
      <c r="D333" s="605"/>
      <c r="E333" s="605"/>
      <c r="F333" s="605"/>
      <c r="G333" s="605"/>
    </row>
    <row r="334" spans="2:7" x14ac:dyDescent="0.15">
      <c r="B334" s="605"/>
      <c r="C334" s="605"/>
      <c r="D334" s="605"/>
      <c r="E334" s="605"/>
      <c r="F334" s="605"/>
      <c r="G334" s="605"/>
    </row>
    <row r="335" spans="2:7" x14ac:dyDescent="0.15">
      <c r="B335" s="605"/>
      <c r="C335" s="605"/>
      <c r="D335" s="605"/>
      <c r="E335" s="605"/>
      <c r="F335" s="605"/>
      <c r="G335" s="605"/>
    </row>
    <row r="336" spans="2:7" x14ac:dyDescent="0.15">
      <c r="B336" s="605"/>
      <c r="C336" s="605"/>
      <c r="D336" s="605"/>
      <c r="E336" s="605"/>
      <c r="F336" s="605"/>
      <c r="G336" s="605"/>
    </row>
    <row r="337" spans="2:7" x14ac:dyDescent="0.15">
      <c r="B337" s="605"/>
      <c r="C337" s="605"/>
      <c r="D337" s="605"/>
      <c r="E337" s="605"/>
      <c r="F337" s="605"/>
      <c r="G337" s="605"/>
    </row>
    <row r="338" spans="2:7" x14ac:dyDescent="0.15">
      <c r="B338" s="605"/>
      <c r="C338" s="605"/>
      <c r="D338" s="605"/>
      <c r="E338" s="605"/>
      <c r="F338" s="605"/>
      <c r="G338" s="605"/>
    </row>
    <row r="339" spans="2:7" x14ac:dyDescent="0.15">
      <c r="B339" s="605"/>
      <c r="C339" s="605"/>
      <c r="D339" s="605"/>
      <c r="E339" s="605"/>
      <c r="F339" s="605"/>
      <c r="G339" s="605"/>
    </row>
    <row r="340" spans="2:7" x14ac:dyDescent="0.15">
      <c r="B340" s="605"/>
      <c r="C340" s="605"/>
      <c r="D340" s="353"/>
      <c r="E340" s="605"/>
      <c r="F340" s="605"/>
      <c r="G340" s="605"/>
    </row>
    <row r="341" spans="2:7" s="444" customFormat="1" x14ac:dyDescent="0.15">
      <c r="B341" s="353"/>
      <c r="C341" s="353"/>
      <c r="D341" s="353"/>
      <c r="E341" s="605"/>
      <c r="F341" s="605"/>
      <c r="G341" s="353"/>
    </row>
    <row r="342" spans="2:7" s="444" customFormat="1" x14ac:dyDescent="0.15">
      <c r="B342" s="353"/>
      <c r="C342" s="353"/>
      <c r="D342" s="353"/>
      <c r="E342" s="605"/>
      <c r="F342" s="605"/>
      <c r="G342" s="353"/>
    </row>
    <row r="343" spans="2:7" s="444" customFormat="1" x14ac:dyDescent="0.15">
      <c r="B343" s="353"/>
      <c r="C343" s="353"/>
      <c r="D343" s="353"/>
      <c r="E343" s="353"/>
      <c r="F343" s="353"/>
      <c r="G343" s="353"/>
    </row>
    <row r="344" spans="2:7" s="444" customFormat="1" x14ac:dyDescent="0.15">
      <c r="B344" s="353"/>
      <c r="C344" s="353"/>
      <c r="D344" s="353"/>
      <c r="E344" s="353"/>
      <c r="F344" s="353"/>
      <c r="G344" s="353"/>
    </row>
    <row r="345" spans="2:7" s="444" customFormat="1" x14ac:dyDescent="0.15">
      <c r="B345" s="353"/>
      <c r="C345" s="353"/>
      <c r="D345" s="353"/>
      <c r="E345" s="353"/>
      <c r="F345" s="353"/>
      <c r="G345" s="353"/>
    </row>
    <row r="346" spans="2:7" s="444" customFormat="1" x14ac:dyDescent="0.15">
      <c r="B346" s="353"/>
      <c r="C346" s="353"/>
      <c r="D346" s="353"/>
      <c r="E346" s="353"/>
      <c r="F346" s="353"/>
      <c r="G346" s="353"/>
    </row>
    <row r="347" spans="2:7" s="444" customFormat="1" x14ac:dyDescent="0.15">
      <c r="B347" s="353"/>
      <c r="C347" s="353"/>
      <c r="D347" s="353"/>
      <c r="E347" s="353"/>
      <c r="F347" s="353"/>
      <c r="G347" s="353"/>
    </row>
    <row r="348" spans="2:7" s="444" customFormat="1" x14ac:dyDescent="0.15">
      <c r="B348" s="353"/>
      <c r="C348" s="353"/>
      <c r="D348" s="353"/>
      <c r="E348" s="353"/>
      <c r="F348" s="353"/>
      <c r="G348" s="353"/>
    </row>
    <row r="349" spans="2:7" s="444" customFormat="1" x14ac:dyDescent="0.15">
      <c r="B349" s="353"/>
      <c r="C349" s="353"/>
      <c r="D349" s="353"/>
      <c r="E349" s="353"/>
      <c r="F349" s="353"/>
      <c r="G349" s="353"/>
    </row>
    <row r="350" spans="2:7" s="444" customFormat="1" x14ac:dyDescent="0.15">
      <c r="B350" s="353"/>
      <c r="C350" s="353"/>
      <c r="D350" s="353"/>
      <c r="E350" s="353"/>
      <c r="F350" s="353"/>
      <c r="G350" s="353"/>
    </row>
    <row r="351" spans="2:7" s="444" customFormat="1" x14ac:dyDescent="0.15">
      <c r="B351" s="353"/>
      <c r="C351" s="353"/>
      <c r="D351" s="353"/>
      <c r="E351" s="353"/>
      <c r="F351" s="353"/>
      <c r="G351" s="353"/>
    </row>
    <row r="352" spans="2:7" s="444" customFormat="1" x14ac:dyDescent="0.15">
      <c r="B352" s="353"/>
      <c r="C352" s="353"/>
      <c r="D352" s="353"/>
      <c r="E352" s="353"/>
      <c r="F352" s="353"/>
      <c r="G352" s="353"/>
    </row>
    <row r="353" spans="2:7" s="444" customFormat="1" x14ac:dyDescent="0.15">
      <c r="B353" s="353"/>
      <c r="C353" s="353"/>
      <c r="D353" s="353"/>
      <c r="E353" s="353"/>
      <c r="F353" s="353"/>
      <c r="G353" s="353"/>
    </row>
    <row r="354" spans="2:7" s="444" customFormat="1" x14ac:dyDescent="0.15">
      <c r="B354" s="353"/>
      <c r="C354" s="353"/>
      <c r="D354" s="353"/>
      <c r="E354" s="353"/>
      <c r="F354" s="353"/>
      <c r="G354" s="353"/>
    </row>
    <row r="355" spans="2:7" s="444" customFormat="1" x14ac:dyDescent="0.15">
      <c r="B355" s="353"/>
      <c r="C355" s="353"/>
      <c r="D355" s="353"/>
      <c r="E355" s="353"/>
      <c r="F355" s="353"/>
      <c r="G355" s="353"/>
    </row>
    <row r="356" spans="2:7" s="444" customFormat="1" x14ac:dyDescent="0.15">
      <c r="B356" s="353"/>
      <c r="C356" s="353"/>
      <c r="D356" s="353"/>
      <c r="E356" s="353"/>
      <c r="F356" s="353"/>
      <c r="G356" s="353"/>
    </row>
    <row r="357" spans="2:7" s="444" customFormat="1" x14ac:dyDescent="0.15">
      <c r="B357" s="353"/>
      <c r="C357" s="353"/>
      <c r="D357" s="353"/>
      <c r="E357" s="353"/>
      <c r="F357" s="353"/>
      <c r="G357" s="353"/>
    </row>
    <row r="358" spans="2:7" s="444" customFormat="1" x14ac:dyDescent="0.15">
      <c r="B358" s="353"/>
      <c r="C358" s="353"/>
      <c r="D358" s="353"/>
      <c r="E358" s="353"/>
      <c r="F358" s="353"/>
      <c r="G358" s="353"/>
    </row>
    <row r="359" spans="2:7" s="444" customFormat="1" x14ac:dyDescent="0.15">
      <c r="B359" s="353"/>
      <c r="C359" s="353"/>
      <c r="D359" s="353"/>
      <c r="E359" s="353"/>
      <c r="F359" s="353"/>
      <c r="G359" s="353"/>
    </row>
    <row r="360" spans="2:7" s="444" customFormat="1" x14ac:dyDescent="0.15">
      <c r="B360" s="353"/>
      <c r="C360" s="353"/>
      <c r="D360" s="353"/>
      <c r="E360" s="353"/>
      <c r="F360" s="353"/>
      <c r="G360" s="353"/>
    </row>
    <row r="361" spans="2:7" s="444" customFormat="1" x14ac:dyDescent="0.15">
      <c r="B361" s="353"/>
      <c r="C361" s="353"/>
      <c r="D361" s="353"/>
      <c r="E361" s="353"/>
      <c r="F361" s="353"/>
      <c r="G361" s="353"/>
    </row>
    <row r="362" spans="2:7" s="444" customFormat="1" x14ac:dyDescent="0.15">
      <c r="B362" s="353"/>
      <c r="C362" s="353"/>
      <c r="D362" s="353"/>
      <c r="E362" s="353"/>
      <c r="F362" s="353"/>
      <c r="G362" s="353"/>
    </row>
    <row r="363" spans="2:7" s="444" customFormat="1" x14ac:dyDescent="0.15">
      <c r="B363" s="353"/>
      <c r="C363" s="353"/>
      <c r="D363" s="353"/>
      <c r="E363" s="353"/>
      <c r="F363" s="353"/>
      <c r="G363" s="353"/>
    </row>
    <row r="364" spans="2:7" s="444" customFormat="1" x14ac:dyDescent="0.15">
      <c r="B364" s="353"/>
      <c r="C364" s="353"/>
      <c r="D364" s="353"/>
      <c r="E364" s="353"/>
      <c r="F364" s="353"/>
      <c r="G364" s="353"/>
    </row>
    <row r="365" spans="2:7" s="444" customFormat="1" x14ac:dyDescent="0.15">
      <c r="B365" s="353"/>
      <c r="C365" s="353"/>
      <c r="D365" s="353"/>
      <c r="E365" s="353"/>
      <c r="F365" s="353"/>
      <c r="G365" s="353"/>
    </row>
    <row r="366" spans="2:7" s="444" customFormat="1" x14ac:dyDescent="0.15">
      <c r="B366" s="353"/>
      <c r="C366" s="353"/>
      <c r="D366" s="337"/>
      <c r="E366" s="353"/>
      <c r="F366" s="353"/>
      <c r="G366" s="353"/>
    </row>
    <row r="367" spans="2:7" x14ac:dyDescent="0.15">
      <c r="E367" s="353"/>
      <c r="F367" s="353"/>
    </row>
    <row r="368" spans="2:7" x14ac:dyDescent="0.15">
      <c r="E368" s="353"/>
      <c r="F368" s="353"/>
    </row>
  </sheetData>
  <sheetProtection algorithmName="SHA-512" hashValue="6Hjc0kMYL7+gas873AxzEYu/QoAlaAGtyLONWDH9xUi5VvwCc4Lk5m8QnWqc3vGhWIo7UD8YNm75S7TTtekzww==" saltValue="oZ2DAPNSrmaEFJcpK2VXUg==" spinCount="100000" sheet="1" formatColumns="0" selectLockedCells="1"/>
  <mergeCells count="90">
    <mergeCell ref="B208:F208"/>
    <mergeCell ref="B190:F190"/>
    <mergeCell ref="B193:F193"/>
    <mergeCell ref="B196:F196"/>
    <mergeCell ref="B199:F199"/>
    <mergeCell ref="B202:F202"/>
    <mergeCell ref="B205:F205"/>
    <mergeCell ref="B187:F187"/>
    <mergeCell ref="B166:F166"/>
    <mergeCell ref="B169:F169"/>
    <mergeCell ref="B148:F148"/>
    <mergeCell ref="B151:F151"/>
    <mergeCell ref="B154:F154"/>
    <mergeCell ref="B157:F157"/>
    <mergeCell ref="B160:F160"/>
    <mergeCell ref="B163:F163"/>
    <mergeCell ref="B172:F172"/>
    <mergeCell ref="B175:F175"/>
    <mergeCell ref="B178:F178"/>
    <mergeCell ref="B181:F181"/>
    <mergeCell ref="B184:F184"/>
    <mergeCell ref="B139:F139"/>
    <mergeCell ref="B142:F142"/>
    <mergeCell ref="B22:C22"/>
    <mergeCell ref="D22:E22"/>
    <mergeCell ref="B106:F106"/>
    <mergeCell ref="B109:F109"/>
    <mergeCell ref="B112:F112"/>
    <mergeCell ref="B115:F115"/>
    <mergeCell ref="F22:G22"/>
    <mergeCell ref="B33:C33"/>
    <mergeCell ref="B34:C34"/>
    <mergeCell ref="D23:E23"/>
    <mergeCell ref="F24:G24"/>
    <mergeCell ref="B25:C25"/>
    <mergeCell ref="B24:C24"/>
    <mergeCell ref="B26:C26"/>
    <mergeCell ref="B133:F133"/>
    <mergeCell ref="B136:F136"/>
    <mergeCell ref="B124:F124"/>
    <mergeCell ref="B121:F121"/>
    <mergeCell ref="B30:G30"/>
    <mergeCell ref="B82:F82"/>
    <mergeCell ref="B85:F85"/>
    <mergeCell ref="B44:E44"/>
    <mergeCell ref="D24:E24"/>
    <mergeCell ref="D19:E19"/>
    <mergeCell ref="B88:F88"/>
    <mergeCell ref="B91:F91"/>
    <mergeCell ref="B39:C39"/>
    <mergeCell ref="F26:G26"/>
    <mergeCell ref="D25:E25"/>
    <mergeCell ref="B221:G221"/>
    <mergeCell ref="B48:E48"/>
    <mergeCell ref="B41:G41"/>
    <mergeCell ref="B46:E46"/>
    <mergeCell ref="B50:E50"/>
    <mergeCell ref="B218:G218"/>
    <mergeCell ref="B216:G216"/>
    <mergeCell ref="B210:G210"/>
    <mergeCell ref="B211:G215"/>
    <mergeCell ref="B53:F53"/>
    <mergeCell ref="B56:F56"/>
    <mergeCell ref="B59:F59"/>
    <mergeCell ref="B62:F62"/>
    <mergeCell ref="B127:F127"/>
    <mergeCell ref="B130:F130"/>
    <mergeCell ref="B145:F145"/>
    <mergeCell ref="C2:F2"/>
    <mergeCell ref="E8:G8"/>
    <mergeCell ref="E9:G9"/>
    <mergeCell ref="E10:G10"/>
    <mergeCell ref="C3:F3"/>
    <mergeCell ref="B6:G6"/>
    <mergeCell ref="E11:G11"/>
    <mergeCell ref="B118:F118"/>
    <mergeCell ref="B36:G36"/>
    <mergeCell ref="E12:G12"/>
    <mergeCell ref="F23:G23"/>
    <mergeCell ref="D15:G15"/>
    <mergeCell ref="B94:F94"/>
    <mergeCell ref="B97:F97"/>
    <mergeCell ref="B100:F100"/>
    <mergeCell ref="B103:F103"/>
    <mergeCell ref="B19:C19"/>
    <mergeCell ref="B23:C23"/>
    <mergeCell ref="B16:G16"/>
    <mergeCell ref="D26:E26"/>
    <mergeCell ref="F25:G25"/>
    <mergeCell ref="F19:G19"/>
  </mergeCells>
  <phoneticPr fontId="0" type="noConversion"/>
  <dataValidations count="1">
    <dataValidation type="whole" allowBlank="1" showInputMessage="1" showErrorMessage="1" errorTitle="ATTENZIONE" error="INSERIRE SOLO VALORI NUMERICI INTERI" sqref="G118 G88 G121 G91 G94 G100 G59 G62 G53 G82 G97 G127 G56 G103 G106 G109 G154 G205 G124 G133 G130 G115 G136 G85 G139 G151 G145 G148 G175 G157 G160 G163 G166 G169 G208 G172 G178 G181 G184 G187 G190 G202 G112 G142 G193 G196 G199" xr:uid="{00000000-0002-0000-0000-000000000000}">
      <formula1>0</formula1>
      <formula2>999999999999</formula2>
    </dataValidation>
  </dataValidations>
  <printOptions horizontalCentered="1"/>
  <pageMargins left="0.4" right="0.39" top="0.38" bottom="0.23" header="0.15748031496062992" footer="0.15748031496062992"/>
  <pageSetup paperSize="9" scale="66" fitToHeight="2"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47"/>
  <sheetViews>
    <sheetView showGridLines="0" topLeftCell="A22" workbookViewId="0">
      <selection activeCell="D25" sqref="D25"/>
    </sheetView>
  </sheetViews>
  <sheetFormatPr defaultColWidth="10.83203125" defaultRowHeight="11.25" x14ac:dyDescent="0.2"/>
  <cols>
    <col min="1" max="1" width="30" style="3" customWidth="1"/>
    <col min="2" max="2" width="8.1640625" style="3" hidden="1" customWidth="1"/>
    <col min="3" max="3" width="3.83203125" style="2" bestFit="1" customWidth="1"/>
    <col min="4" max="4" width="152.5" style="3" customWidth="1"/>
    <col min="5" max="6" width="9.33203125" style="3" customWidth="1"/>
    <col min="7" max="7" width="23.1640625" style="3" customWidth="1"/>
    <col min="8" max="218" width="9.33203125" style="3" customWidth="1"/>
    <col min="219" max="219" width="48.33203125" style="3" customWidth="1"/>
    <col min="220" max="244" width="0" style="3" hidden="1" customWidth="1"/>
    <col min="245" max="250" width="11.1640625" style="3" customWidth="1"/>
    <col min="251" max="16384" width="10.83203125" style="3"/>
  </cols>
  <sheetData>
    <row r="1" spans="1:5" ht="31.15" customHeight="1" x14ac:dyDescent="0.25">
      <c r="A1" s="747" t="str">
        <f>'t1'!A1</f>
        <v>ENTI PUBBLICI NON ECONOMICI - anno 2024</v>
      </c>
      <c r="B1" s="747"/>
      <c r="C1" s="747"/>
      <c r="D1" s="1220"/>
      <c r="E1" s="1221">
        <f>IF(D5="",IF(D15="",IF(D25="",IF(D35="",0,1),1),1)*1,1)</f>
        <v>1</v>
      </c>
    </row>
    <row r="2" spans="1:5" ht="30" customHeight="1" x14ac:dyDescent="0.2">
      <c r="A2" s="5"/>
      <c r="B2" s="5"/>
    </row>
    <row r="3" spans="1:5" ht="30" customHeight="1" thickBot="1" x14ac:dyDescent="0.25">
      <c r="A3" s="5"/>
      <c r="B3" s="5"/>
      <c r="D3" s="1222" t="str">
        <f>IF(E1=0,"Compilare la tabella partendo dalla riga numero uno di ogni CATEGORIA se presenti.","")</f>
        <v/>
      </c>
    </row>
    <row r="4" spans="1:5" ht="26.45" customHeight="1" thickTop="1" thickBot="1" x14ac:dyDescent="0.25">
      <c r="A4" s="1223" t="s">
        <v>89</v>
      </c>
      <c r="B4" s="1224" t="s">
        <v>1042</v>
      </c>
      <c r="C4" s="1225"/>
      <c r="D4" s="1225" t="s">
        <v>1043</v>
      </c>
      <c r="E4" s="1226"/>
    </row>
    <row r="5" spans="1:5" ht="23.45" customHeight="1" thickTop="1" x14ac:dyDescent="0.2">
      <c r="A5" s="1428" t="s">
        <v>1044</v>
      </c>
      <c r="B5" s="1227" t="s">
        <v>984</v>
      </c>
      <c r="C5" s="1228">
        <v>1</v>
      </c>
      <c r="D5" s="1229"/>
    </row>
    <row r="6" spans="1:5" ht="23.45" customHeight="1" x14ac:dyDescent="0.2">
      <c r="A6" s="1429"/>
      <c r="B6" s="1230" t="s">
        <v>984</v>
      </c>
      <c r="C6" s="1231">
        <v>2</v>
      </c>
      <c r="D6" s="1232"/>
    </row>
    <row r="7" spans="1:5" ht="23.45" customHeight="1" x14ac:dyDescent="0.2">
      <c r="A7" s="1429"/>
      <c r="B7" s="1233" t="s">
        <v>984</v>
      </c>
      <c r="C7" s="1234">
        <v>3</v>
      </c>
      <c r="D7" s="1232"/>
    </row>
    <row r="8" spans="1:5" ht="23.45" customHeight="1" x14ac:dyDescent="0.2">
      <c r="A8" s="1429"/>
      <c r="B8" s="1230" t="s">
        <v>984</v>
      </c>
      <c r="C8" s="1235">
        <v>4</v>
      </c>
      <c r="D8" s="1232"/>
    </row>
    <row r="9" spans="1:5" ht="23.45" customHeight="1" x14ac:dyDescent="0.2">
      <c r="A9" s="1429"/>
      <c r="B9" s="1230" t="s">
        <v>984</v>
      </c>
      <c r="C9" s="1235">
        <v>5</v>
      </c>
      <c r="D9" s="1232"/>
    </row>
    <row r="10" spans="1:5" ht="23.45" customHeight="1" x14ac:dyDescent="0.2">
      <c r="A10" s="1429"/>
      <c r="B10" s="1230" t="s">
        <v>984</v>
      </c>
      <c r="C10" s="1235">
        <v>6</v>
      </c>
      <c r="D10" s="1236"/>
    </row>
    <row r="11" spans="1:5" ht="23.45" customHeight="1" x14ac:dyDescent="0.2">
      <c r="A11" s="1429"/>
      <c r="B11" s="1233" t="s">
        <v>984</v>
      </c>
      <c r="C11" s="1235">
        <v>7</v>
      </c>
      <c r="D11" s="1237"/>
    </row>
    <row r="12" spans="1:5" ht="23.45" customHeight="1" x14ac:dyDescent="0.2">
      <c r="A12" s="1429"/>
      <c r="B12" s="1230" t="s">
        <v>984</v>
      </c>
      <c r="C12" s="1231">
        <v>8</v>
      </c>
      <c r="D12" s="1232"/>
    </row>
    <row r="13" spans="1:5" ht="23.45" customHeight="1" x14ac:dyDescent="0.2">
      <c r="A13" s="1429"/>
      <c r="B13" s="1238" t="s">
        <v>984</v>
      </c>
      <c r="C13" s="1231">
        <v>9</v>
      </c>
      <c r="D13" s="1232"/>
    </row>
    <row r="14" spans="1:5" ht="23.45" customHeight="1" thickBot="1" x14ac:dyDescent="0.25">
      <c r="A14" s="1430"/>
      <c r="B14" s="1239" t="s">
        <v>984</v>
      </c>
      <c r="C14" s="1240">
        <v>10</v>
      </c>
      <c r="D14" s="1241"/>
    </row>
    <row r="15" spans="1:5" ht="23.45" customHeight="1" thickTop="1" x14ac:dyDescent="0.2">
      <c r="A15" s="1431" t="s">
        <v>979</v>
      </c>
      <c r="B15" s="1227" t="s">
        <v>985</v>
      </c>
      <c r="C15" s="1242">
        <v>1</v>
      </c>
      <c r="D15" s="1229"/>
    </row>
    <row r="16" spans="1:5" ht="23.45" customHeight="1" x14ac:dyDescent="0.2">
      <c r="A16" s="1432"/>
      <c r="B16" s="1230" t="s">
        <v>985</v>
      </c>
      <c r="C16" s="1243">
        <v>2</v>
      </c>
      <c r="D16" s="1232"/>
    </row>
    <row r="17" spans="1:4" ht="23.45" customHeight="1" x14ac:dyDescent="0.2">
      <c r="A17" s="1433"/>
      <c r="B17" s="1233" t="s">
        <v>985</v>
      </c>
      <c r="C17" s="1243">
        <v>3</v>
      </c>
      <c r="D17" s="1232"/>
    </row>
    <row r="18" spans="1:4" ht="23.45" customHeight="1" x14ac:dyDescent="0.2">
      <c r="A18" s="1432"/>
      <c r="B18" s="1230" t="s">
        <v>985</v>
      </c>
      <c r="C18" s="1244">
        <v>4</v>
      </c>
      <c r="D18" s="1232"/>
    </row>
    <row r="19" spans="1:4" ht="23.45" customHeight="1" x14ac:dyDescent="0.2">
      <c r="A19" s="1432"/>
      <c r="B19" s="1230" t="s">
        <v>985</v>
      </c>
      <c r="C19" s="1244">
        <v>5</v>
      </c>
      <c r="D19" s="1232"/>
    </row>
    <row r="20" spans="1:4" ht="23.45" customHeight="1" x14ac:dyDescent="0.2">
      <c r="A20" s="1432"/>
      <c r="B20" s="1230" t="s">
        <v>985</v>
      </c>
      <c r="C20" s="1244">
        <v>6</v>
      </c>
      <c r="D20" s="1236"/>
    </row>
    <row r="21" spans="1:4" ht="23.45" customHeight="1" x14ac:dyDescent="0.2">
      <c r="A21" s="1432"/>
      <c r="B21" s="1233" t="s">
        <v>985</v>
      </c>
      <c r="C21" s="1244">
        <v>7</v>
      </c>
      <c r="D21" s="1237"/>
    </row>
    <row r="22" spans="1:4" ht="23.45" customHeight="1" x14ac:dyDescent="0.2">
      <c r="A22" s="1432"/>
      <c r="B22" s="1230" t="s">
        <v>985</v>
      </c>
      <c r="C22" s="1243">
        <v>8</v>
      </c>
      <c r="D22" s="1232"/>
    </row>
    <row r="23" spans="1:4" ht="23.45" customHeight="1" x14ac:dyDescent="0.2">
      <c r="A23" s="1432"/>
      <c r="B23" s="1238" t="s">
        <v>985</v>
      </c>
      <c r="C23" s="1243">
        <v>9</v>
      </c>
      <c r="D23" s="1232"/>
    </row>
    <row r="24" spans="1:4" ht="23.45" customHeight="1" thickBot="1" x14ac:dyDescent="0.25">
      <c r="A24" s="1434"/>
      <c r="B24" s="1239" t="s">
        <v>985</v>
      </c>
      <c r="C24" s="1245">
        <v>10</v>
      </c>
      <c r="D24" s="1241"/>
    </row>
    <row r="25" spans="1:4" ht="23.45" customHeight="1" thickTop="1" x14ac:dyDescent="0.2">
      <c r="A25" s="1431" t="s">
        <v>980</v>
      </c>
      <c r="B25" s="1227" t="s">
        <v>986</v>
      </c>
      <c r="C25" s="1242">
        <v>1</v>
      </c>
      <c r="D25" s="1229" t="s">
        <v>1217</v>
      </c>
    </row>
    <row r="26" spans="1:4" ht="23.45" customHeight="1" x14ac:dyDescent="0.2">
      <c r="A26" s="1432"/>
      <c r="B26" s="1230" t="s">
        <v>986</v>
      </c>
      <c r="C26" s="1243">
        <v>2</v>
      </c>
      <c r="D26" s="1232"/>
    </row>
    <row r="27" spans="1:4" ht="23.45" customHeight="1" x14ac:dyDescent="0.2">
      <c r="A27" s="1433"/>
      <c r="B27" s="1233" t="s">
        <v>986</v>
      </c>
      <c r="C27" s="1243">
        <v>3</v>
      </c>
      <c r="D27" s="1232"/>
    </row>
    <row r="28" spans="1:4" ht="23.45" customHeight="1" x14ac:dyDescent="0.2">
      <c r="A28" s="1432"/>
      <c r="B28" s="1230" t="s">
        <v>986</v>
      </c>
      <c r="C28" s="1244">
        <v>4</v>
      </c>
      <c r="D28" s="1232"/>
    </row>
    <row r="29" spans="1:4" ht="23.45" customHeight="1" x14ac:dyDescent="0.2">
      <c r="A29" s="1432"/>
      <c r="B29" s="1230" t="s">
        <v>986</v>
      </c>
      <c r="C29" s="1244">
        <v>5</v>
      </c>
      <c r="D29" s="1232"/>
    </row>
    <row r="30" spans="1:4" ht="23.45" customHeight="1" x14ac:dyDescent="0.2">
      <c r="A30" s="1432"/>
      <c r="B30" s="1230" t="s">
        <v>986</v>
      </c>
      <c r="C30" s="1244">
        <v>6</v>
      </c>
      <c r="D30" s="1236"/>
    </row>
    <row r="31" spans="1:4" ht="23.45" customHeight="1" x14ac:dyDescent="0.2">
      <c r="A31" s="1432"/>
      <c r="B31" s="1233" t="s">
        <v>986</v>
      </c>
      <c r="C31" s="1244">
        <v>7</v>
      </c>
      <c r="D31" s="1237"/>
    </row>
    <row r="32" spans="1:4" ht="23.45" customHeight="1" x14ac:dyDescent="0.2">
      <c r="A32" s="1432"/>
      <c r="B32" s="1230" t="s">
        <v>986</v>
      </c>
      <c r="C32" s="1243">
        <v>8</v>
      </c>
      <c r="D32" s="1232"/>
    </row>
    <row r="33" spans="1:4" ht="23.45" customHeight="1" x14ac:dyDescent="0.2">
      <c r="A33" s="1432"/>
      <c r="B33" s="1238" t="s">
        <v>986</v>
      </c>
      <c r="C33" s="1243">
        <v>9</v>
      </c>
      <c r="D33" s="1232"/>
    </row>
    <row r="34" spans="1:4" ht="23.45" customHeight="1" thickBot="1" x14ac:dyDescent="0.25">
      <c r="A34" s="1434"/>
      <c r="B34" s="1239" t="s">
        <v>986</v>
      </c>
      <c r="C34" s="1245">
        <v>10</v>
      </c>
      <c r="D34" s="1241"/>
    </row>
    <row r="35" spans="1:4" ht="23.45" customHeight="1" thickTop="1" x14ac:dyDescent="0.2">
      <c r="A35" s="1431" t="s">
        <v>981</v>
      </c>
      <c r="B35" s="1227" t="s">
        <v>987</v>
      </c>
      <c r="C35" s="1242">
        <v>1</v>
      </c>
      <c r="D35" s="1229"/>
    </row>
    <row r="36" spans="1:4" ht="23.45" customHeight="1" x14ac:dyDescent="0.2">
      <c r="A36" s="1432"/>
      <c r="B36" s="1230" t="s">
        <v>987</v>
      </c>
      <c r="C36" s="1243">
        <v>2</v>
      </c>
      <c r="D36" s="1232"/>
    </row>
    <row r="37" spans="1:4" ht="23.45" customHeight="1" x14ac:dyDescent="0.2">
      <c r="A37" s="1433"/>
      <c r="B37" s="1233" t="s">
        <v>987</v>
      </c>
      <c r="C37" s="1243">
        <v>3</v>
      </c>
      <c r="D37" s="1232"/>
    </row>
    <row r="38" spans="1:4" ht="23.45" customHeight="1" x14ac:dyDescent="0.2">
      <c r="A38" s="1432"/>
      <c r="B38" s="1230" t="s">
        <v>987</v>
      </c>
      <c r="C38" s="1244">
        <v>4</v>
      </c>
      <c r="D38" s="1232"/>
    </row>
    <row r="39" spans="1:4" ht="23.45" customHeight="1" x14ac:dyDescent="0.2">
      <c r="A39" s="1432"/>
      <c r="B39" s="1230" t="s">
        <v>987</v>
      </c>
      <c r="C39" s="1244">
        <v>5</v>
      </c>
      <c r="D39" s="1232"/>
    </row>
    <row r="40" spans="1:4" ht="23.45" customHeight="1" x14ac:dyDescent="0.2">
      <c r="A40" s="1432"/>
      <c r="B40" s="1230" t="s">
        <v>987</v>
      </c>
      <c r="C40" s="1244">
        <v>6</v>
      </c>
      <c r="D40" s="1236"/>
    </row>
    <row r="41" spans="1:4" ht="23.45" customHeight="1" x14ac:dyDescent="0.2">
      <c r="A41" s="1432"/>
      <c r="B41" s="1233" t="s">
        <v>987</v>
      </c>
      <c r="C41" s="1244">
        <v>7</v>
      </c>
      <c r="D41" s="1237"/>
    </row>
    <row r="42" spans="1:4" ht="23.45" customHeight="1" x14ac:dyDescent="0.2">
      <c r="A42" s="1432"/>
      <c r="B42" s="1230" t="s">
        <v>987</v>
      </c>
      <c r="C42" s="1243">
        <v>8</v>
      </c>
      <c r="D42" s="1232"/>
    </row>
    <row r="43" spans="1:4" ht="23.45" customHeight="1" x14ac:dyDescent="0.2">
      <c r="A43" s="1432"/>
      <c r="B43" s="1238" t="s">
        <v>987</v>
      </c>
      <c r="C43" s="1243">
        <v>9</v>
      </c>
      <c r="D43" s="1232"/>
    </row>
    <row r="44" spans="1:4" ht="23.45" customHeight="1" thickBot="1" x14ac:dyDescent="0.25">
      <c r="A44" s="1434"/>
      <c r="B44" s="1239" t="s">
        <v>987</v>
      </c>
      <c r="C44" s="1245">
        <v>10</v>
      </c>
      <c r="D44" s="1241"/>
    </row>
    <row r="45" spans="1:4" ht="8.25" customHeight="1" thickTop="1" x14ac:dyDescent="0.2">
      <c r="A45" s="6"/>
      <c r="B45" s="6"/>
    </row>
    <row r="46" spans="1:4" ht="12.75" x14ac:dyDescent="0.2">
      <c r="A46" s="1246"/>
      <c r="B46" s="1246"/>
    </row>
    <row r="47" spans="1:4" ht="12.75" x14ac:dyDescent="0.2">
      <c r="A47" s="1246"/>
      <c r="B47" s="1246"/>
    </row>
  </sheetData>
  <sheetProtection password="DD41" sheet="1" formatColumns="0" selectLockedCells="1"/>
  <mergeCells count="4">
    <mergeCell ref="A5:A14"/>
    <mergeCell ref="A15:A24"/>
    <mergeCell ref="A25:A34"/>
    <mergeCell ref="A35:A44"/>
  </mergeCells>
  <dataValidations count="1">
    <dataValidation type="textLength" operator="lessThan" allowBlank="1" showInputMessage="1" showErrorMessage="1" errorTitle="Inseriti troppi caratteri" error="Il numero massimo di caratteri è 200" sqref="D5:D44" xr:uid="{00000000-0002-0000-0200-000000000000}">
      <formula1>201</formula1>
    </dataValidation>
  </dataValidations>
  <printOptions horizontalCentered="1"/>
  <pageMargins left="0.23622047244094491" right="0.23622047244094491" top="0.35433070866141736" bottom="0.35433070866141736" header="0.31496062992125984" footer="0.31496062992125984"/>
  <pageSetup paperSize="9" scale="90"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oglio8"/>
  <dimension ref="A1:AK26"/>
  <sheetViews>
    <sheetView showGridLines="0" zoomScaleNormal="100" workbookViewId="0">
      <pane xSplit="2" ySplit="5" topLeftCell="O6" activePane="bottomRight" state="frozen"/>
      <selection activeCell="C4" sqref="C4:C6"/>
      <selection pane="topRight" activeCell="C4" sqref="C4:C6"/>
      <selection pane="bottomLeft" activeCell="C4" sqref="C4:C6"/>
      <selection pane="bottomRight" activeCell="AG19" sqref="AG19"/>
    </sheetView>
  </sheetViews>
  <sheetFormatPr defaultColWidth="9.33203125" defaultRowHeight="11.25" x14ac:dyDescent="0.2"/>
  <cols>
    <col min="1" max="1" width="49.6640625" style="3" customWidth="1"/>
    <col min="2" max="2" width="9.6640625" style="2" customWidth="1"/>
    <col min="3" max="12" width="12.6640625" style="3" hidden="1" customWidth="1"/>
    <col min="13" max="13" width="9.33203125" style="3" hidden="1" customWidth="1"/>
    <col min="14" max="14" width="12.6640625" style="821" hidden="1" customWidth="1"/>
    <col min="15" max="26" width="9.33203125" style="3" hidden="1" customWidth="1"/>
    <col min="27" max="36" width="12.6640625" style="3" customWidth="1"/>
    <col min="37" max="37" width="0" style="3" hidden="1" customWidth="1"/>
    <col min="38" max="16384" width="9.33203125" style="3"/>
  </cols>
  <sheetData>
    <row r="1" spans="1:37" ht="24.75" customHeight="1" thickBot="1" x14ac:dyDescent="0.25">
      <c r="A1" s="747" t="str">
        <f>"ENTI PUBBLICI NON ECONOMICI"&amp;" - anno "&amp;$L$1</f>
        <v>ENTI PUBBLICI NON ECONOMICI - anno 2024</v>
      </c>
      <c r="B1" s="288"/>
      <c r="C1" s="288"/>
      <c r="D1" s="288"/>
      <c r="E1" s="288"/>
      <c r="F1" s="288"/>
      <c r="G1" s="288"/>
      <c r="H1" s="288"/>
      <c r="I1" s="288"/>
      <c r="J1" s="288"/>
      <c r="K1" s="288"/>
      <c r="L1" s="599">
        <v>2024</v>
      </c>
      <c r="M1" s="288"/>
      <c r="N1" s="762"/>
      <c r="O1" s="288"/>
      <c r="P1" s="288"/>
      <c r="Q1" s="288"/>
      <c r="R1" s="288"/>
      <c r="S1" s="288"/>
      <c r="T1" s="288"/>
      <c r="U1" s="288"/>
      <c r="V1" s="288"/>
      <c r="W1" s="288"/>
      <c r="X1" s="288"/>
      <c r="Y1" s="288"/>
      <c r="Z1" s="288"/>
      <c r="AA1" s="288"/>
      <c r="AB1" s="288"/>
      <c r="AC1" s="288"/>
      <c r="AD1" s="288"/>
      <c r="AE1" s="288"/>
      <c r="AF1" s="288"/>
      <c r="AG1" s="288"/>
      <c r="AH1" s="288"/>
      <c r="AI1" s="288"/>
      <c r="AJ1" s="599"/>
    </row>
    <row r="2" spans="1:37" ht="30" customHeight="1" thickBot="1" x14ac:dyDescent="0.25">
      <c r="A2" s="5"/>
      <c r="G2" s="1444"/>
      <c r="H2" s="1445"/>
      <c r="I2" s="1445"/>
      <c r="J2" s="1445"/>
      <c r="K2" s="1445"/>
      <c r="L2" s="1446"/>
      <c r="N2" s="820">
        <v>2016</v>
      </c>
      <c r="AE2" s="1435"/>
      <c r="AF2" s="1435"/>
      <c r="AG2" s="1435"/>
      <c r="AH2" s="1435"/>
      <c r="AI2" s="1435"/>
      <c r="AJ2" s="1435"/>
    </row>
    <row r="3" spans="1:37" ht="15" customHeight="1" thickBot="1" x14ac:dyDescent="0.25">
      <c r="A3" s="335"/>
      <c r="B3" s="336"/>
      <c r="C3" s="1439" t="s">
        <v>56</v>
      </c>
      <c r="D3" s="1439"/>
      <c r="E3" s="1439"/>
      <c r="F3" s="1439"/>
      <c r="G3" s="1440"/>
      <c r="H3" s="1440"/>
      <c r="I3" s="1440"/>
      <c r="J3" s="1440"/>
      <c r="K3" s="1440"/>
      <c r="L3" s="1441"/>
      <c r="AA3" s="1436" t="s">
        <v>56</v>
      </c>
      <c r="AB3" s="1437"/>
      <c r="AC3" s="1437"/>
      <c r="AD3" s="1437"/>
      <c r="AE3" s="1437"/>
      <c r="AF3" s="1437"/>
      <c r="AG3" s="1437"/>
      <c r="AH3" s="1437"/>
      <c r="AI3" s="1437"/>
      <c r="AJ3" s="1438"/>
    </row>
    <row r="4" spans="1:37" ht="23.25" thickTop="1" x14ac:dyDescent="0.2">
      <c r="A4" s="714" t="s">
        <v>125</v>
      </c>
      <c r="B4" s="1442" t="s">
        <v>57</v>
      </c>
      <c r="C4" s="15" t="str">
        <f>"Totale dipendenti al 31/12/"&amp;L1-1&amp;" (*)"</f>
        <v>Totale dipendenti al 31/12/2023 (*)</v>
      </c>
      <c r="D4" s="14"/>
      <c r="E4" s="13" t="s">
        <v>61</v>
      </c>
      <c r="F4" s="14"/>
      <c r="G4" s="15" t="s">
        <v>117</v>
      </c>
      <c r="H4" s="14"/>
      <c r="I4" s="15" t="s">
        <v>118</v>
      </c>
      <c r="J4" s="14"/>
      <c r="K4" s="15" t="str">
        <f>"Totale dipendenti al 31/12/"&amp;L1&amp;" (**)"</f>
        <v>Totale dipendenti al 31/12/2024 (**)</v>
      </c>
      <c r="L4" s="277"/>
      <c r="AA4" s="836" t="str">
        <f>"Totale dipendenti al 31/12/"&amp;L1-1&amp;" (*)"</f>
        <v>Totale dipendenti al 31/12/2023 (*)</v>
      </c>
      <c r="AB4" s="837"/>
      <c r="AC4" s="838" t="s">
        <v>61</v>
      </c>
      <c r="AD4" s="837"/>
      <c r="AE4" s="836" t="s">
        <v>117</v>
      </c>
      <c r="AF4" s="837"/>
      <c r="AG4" s="836" t="s">
        <v>118</v>
      </c>
      <c r="AH4" s="837"/>
      <c r="AI4" s="836" t="str">
        <f>"Totale dipendenti al 31/12/"&amp;L1&amp;" (**)"</f>
        <v>Totale dipendenti al 31/12/2024 (**)</v>
      </c>
      <c r="AJ4" s="277"/>
    </row>
    <row r="5" spans="1:37" ht="12" thickBot="1" x14ac:dyDescent="0.25">
      <c r="A5" s="715" t="s">
        <v>594</v>
      </c>
      <c r="B5" s="1443"/>
      <c r="C5" s="219" t="s">
        <v>58</v>
      </c>
      <c r="D5" s="220" t="s">
        <v>59</v>
      </c>
      <c r="E5" s="219" t="s">
        <v>58</v>
      </c>
      <c r="F5" s="220" t="s">
        <v>59</v>
      </c>
      <c r="G5" s="219" t="s">
        <v>58</v>
      </c>
      <c r="H5" s="220" t="s">
        <v>59</v>
      </c>
      <c r="I5" s="219" t="s">
        <v>58</v>
      </c>
      <c r="J5" s="220" t="s">
        <v>59</v>
      </c>
      <c r="K5" s="219" t="s">
        <v>58</v>
      </c>
      <c r="L5" s="278" t="s">
        <v>59</v>
      </c>
      <c r="AA5" s="219" t="s">
        <v>58</v>
      </c>
      <c r="AB5" s="220" t="s">
        <v>59</v>
      </c>
      <c r="AC5" s="219" t="s">
        <v>58</v>
      </c>
      <c r="AD5" s="220" t="s">
        <v>59</v>
      </c>
      <c r="AE5" s="219" t="s">
        <v>58</v>
      </c>
      <c r="AF5" s="220" t="s">
        <v>59</v>
      </c>
      <c r="AG5" s="219" t="s">
        <v>58</v>
      </c>
      <c r="AH5" s="220" t="s">
        <v>59</v>
      </c>
      <c r="AI5" s="219" t="s">
        <v>58</v>
      </c>
      <c r="AJ5" s="278" t="s">
        <v>59</v>
      </c>
    </row>
    <row r="6" spans="1:37" ht="12.75" customHeight="1" thickTop="1" x14ac:dyDescent="0.2">
      <c r="A6" s="135" t="s">
        <v>409</v>
      </c>
      <c r="B6" s="328" t="s">
        <v>410</v>
      </c>
      <c r="C6" s="721">
        <f>ROUND(AA6,0)</f>
        <v>0</v>
      </c>
      <c r="D6" s="722">
        <f t="shared" ref="D6:D16" si="0">ROUND(AB6,0)</f>
        <v>0</v>
      </c>
      <c r="E6" s="723">
        <f t="shared" ref="E6:E16" si="1">ROUND(AC6,0)</f>
        <v>0</v>
      </c>
      <c r="F6" s="724">
        <f t="shared" ref="F6:F16" si="2">ROUND(AD6,0)</f>
        <v>0</v>
      </c>
      <c r="G6" s="723">
        <f t="shared" ref="G6:G16" si="3">ROUND(AE6,0)</f>
        <v>0</v>
      </c>
      <c r="H6" s="724">
        <f t="shared" ref="H6:H16" si="4">ROUND(AF6,0)</f>
        <v>0</v>
      </c>
      <c r="I6" s="723">
        <f t="shared" ref="I6:I16" si="5">ROUND(AG6,0)</f>
        <v>0</v>
      </c>
      <c r="J6" s="724">
        <f t="shared" ref="J6:J16" si="6">ROUND(AH6,0)</f>
        <v>0</v>
      </c>
      <c r="K6" s="378">
        <f>E6+G6+I6</f>
        <v>0</v>
      </c>
      <c r="L6" s="379">
        <f>F6+H6+J6</f>
        <v>0</v>
      </c>
      <c r="M6" s="717">
        <f>K6+L6</f>
        <v>0</v>
      </c>
      <c r="N6" s="822" t="s">
        <v>431</v>
      </c>
      <c r="AA6" s="297"/>
      <c r="AB6" s="298"/>
      <c r="AC6" s="186"/>
      <c r="AD6" s="226"/>
      <c r="AE6" s="186"/>
      <c r="AF6" s="226"/>
      <c r="AG6" s="186"/>
      <c r="AH6" s="226"/>
      <c r="AI6" s="378">
        <f>AC6+AE6+AG6</f>
        <v>0</v>
      </c>
      <c r="AJ6" s="379">
        <f>AD6+AF6+AH6</f>
        <v>0</v>
      </c>
      <c r="AK6" s="717">
        <f>AI6+AJ6</f>
        <v>0</v>
      </c>
    </row>
    <row r="7" spans="1:37" ht="12.75" customHeight="1" x14ac:dyDescent="0.2">
      <c r="A7" s="135" t="s">
        <v>411</v>
      </c>
      <c r="B7" s="329" t="s">
        <v>412</v>
      </c>
      <c r="C7" s="721">
        <f t="shared" ref="C7:C16" si="7">ROUND(AA7,0)</f>
        <v>0</v>
      </c>
      <c r="D7" s="722">
        <f t="shared" si="0"/>
        <v>0</v>
      </c>
      <c r="E7" s="723">
        <f t="shared" si="1"/>
        <v>0</v>
      </c>
      <c r="F7" s="724">
        <f t="shared" si="2"/>
        <v>0</v>
      </c>
      <c r="G7" s="723">
        <f t="shared" si="3"/>
        <v>0</v>
      </c>
      <c r="H7" s="724">
        <f t="shared" si="4"/>
        <v>0</v>
      </c>
      <c r="I7" s="723">
        <f t="shared" si="5"/>
        <v>0</v>
      </c>
      <c r="J7" s="724">
        <f t="shared" si="6"/>
        <v>0</v>
      </c>
      <c r="K7" s="378">
        <f t="shared" ref="K7:K16" si="8">E7+G7+I7</f>
        <v>0</v>
      </c>
      <c r="L7" s="379">
        <f t="shared" ref="L7:L16" si="9">F7+H7+J7</f>
        <v>0</v>
      </c>
      <c r="M7" s="717">
        <f t="shared" ref="M7:M16" si="10">K7+L7</f>
        <v>0</v>
      </c>
      <c r="N7" s="822" t="s">
        <v>473</v>
      </c>
      <c r="AA7" s="297"/>
      <c r="AB7" s="298"/>
      <c r="AC7" s="186"/>
      <c r="AD7" s="226"/>
      <c r="AE7" s="186"/>
      <c r="AF7" s="226"/>
      <c r="AG7" s="186"/>
      <c r="AH7" s="226"/>
      <c r="AI7" s="378">
        <f t="shared" ref="AI7:AI16" si="11">AC7+AE7+AG7</f>
        <v>0</v>
      </c>
      <c r="AJ7" s="379">
        <f t="shared" ref="AJ7:AJ16" si="12">AD7+AF7+AH7</f>
        <v>0</v>
      </c>
      <c r="AK7" s="717">
        <f t="shared" ref="AK7:AK16" si="13">AI7+AJ7</f>
        <v>0</v>
      </c>
    </row>
    <row r="8" spans="1:37" ht="12.75" customHeight="1" x14ac:dyDescent="0.2">
      <c r="A8" s="135" t="s">
        <v>413</v>
      </c>
      <c r="B8" s="329" t="s">
        <v>414</v>
      </c>
      <c r="C8" s="721">
        <f t="shared" si="7"/>
        <v>0</v>
      </c>
      <c r="D8" s="722">
        <f t="shared" si="0"/>
        <v>0</v>
      </c>
      <c r="E8" s="723">
        <f t="shared" si="1"/>
        <v>0</v>
      </c>
      <c r="F8" s="724">
        <f t="shared" si="2"/>
        <v>0</v>
      </c>
      <c r="G8" s="723">
        <f t="shared" si="3"/>
        <v>0</v>
      </c>
      <c r="H8" s="724">
        <f t="shared" si="4"/>
        <v>0</v>
      </c>
      <c r="I8" s="723">
        <f t="shared" si="5"/>
        <v>0</v>
      </c>
      <c r="J8" s="724">
        <f t="shared" si="6"/>
        <v>0</v>
      </c>
      <c r="K8" s="378">
        <f t="shared" si="8"/>
        <v>0</v>
      </c>
      <c r="L8" s="379">
        <f t="shared" si="9"/>
        <v>0</v>
      </c>
      <c r="M8" s="717">
        <f t="shared" si="10"/>
        <v>0</v>
      </c>
      <c r="N8" s="822" t="s">
        <v>473</v>
      </c>
      <c r="AA8" s="297"/>
      <c r="AB8" s="298"/>
      <c r="AC8" s="186"/>
      <c r="AD8" s="226"/>
      <c r="AE8" s="186"/>
      <c r="AF8" s="226"/>
      <c r="AG8" s="186"/>
      <c r="AH8" s="226"/>
      <c r="AI8" s="378">
        <f t="shared" si="11"/>
        <v>0</v>
      </c>
      <c r="AJ8" s="379">
        <f t="shared" si="12"/>
        <v>0</v>
      </c>
      <c r="AK8" s="717">
        <f t="shared" si="13"/>
        <v>0</v>
      </c>
    </row>
    <row r="9" spans="1:37" ht="12.75" customHeight="1" x14ac:dyDescent="0.2">
      <c r="A9" s="135" t="s">
        <v>415</v>
      </c>
      <c r="B9" s="329" t="s">
        <v>416</v>
      </c>
      <c r="C9" s="721">
        <f t="shared" si="7"/>
        <v>0</v>
      </c>
      <c r="D9" s="722">
        <f t="shared" si="0"/>
        <v>0</v>
      </c>
      <c r="E9" s="723">
        <f t="shared" si="1"/>
        <v>0</v>
      </c>
      <c r="F9" s="724">
        <f t="shared" si="2"/>
        <v>0</v>
      </c>
      <c r="G9" s="723">
        <f t="shared" si="3"/>
        <v>0</v>
      </c>
      <c r="H9" s="724">
        <f t="shared" si="4"/>
        <v>0</v>
      </c>
      <c r="I9" s="723">
        <f t="shared" si="5"/>
        <v>0</v>
      </c>
      <c r="J9" s="724">
        <f t="shared" si="6"/>
        <v>0</v>
      </c>
      <c r="K9" s="378">
        <f t="shared" si="8"/>
        <v>0</v>
      </c>
      <c r="L9" s="379">
        <f t="shared" si="9"/>
        <v>0</v>
      </c>
      <c r="M9" s="717">
        <f t="shared" si="10"/>
        <v>0</v>
      </c>
      <c r="N9" s="822" t="s">
        <v>456</v>
      </c>
      <c r="AA9" s="297"/>
      <c r="AB9" s="298"/>
      <c r="AC9" s="186"/>
      <c r="AD9" s="226"/>
      <c r="AE9" s="186"/>
      <c r="AF9" s="226"/>
      <c r="AG9" s="186"/>
      <c r="AH9" s="226"/>
      <c r="AI9" s="378">
        <f t="shared" si="11"/>
        <v>0</v>
      </c>
      <c r="AJ9" s="379">
        <f t="shared" si="12"/>
        <v>0</v>
      </c>
      <c r="AK9" s="717">
        <f t="shared" si="13"/>
        <v>0</v>
      </c>
    </row>
    <row r="10" spans="1:37" ht="12.75" customHeight="1" x14ac:dyDescent="0.2">
      <c r="A10" s="135" t="s">
        <v>417</v>
      </c>
      <c r="B10" s="329" t="s">
        <v>418</v>
      </c>
      <c r="C10" s="721">
        <f t="shared" si="7"/>
        <v>0</v>
      </c>
      <c r="D10" s="722">
        <f t="shared" si="0"/>
        <v>0</v>
      </c>
      <c r="E10" s="723">
        <f t="shared" si="1"/>
        <v>0</v>
      </c>
      <c r="F10" s="724">
        <f t="shared" si="2"/>
        <v>0</v>
      </c>
      <c r="G10" s="723">
        <f t="shared" si="3"/>
        <v>0</v>
      </c>
      <c r="H10" s="724">
        <f t="shared" si="4"/>
        <v>0</v>
      </c>
      <c r="I10" s="723">
        <f t="shared" si="5"/>
        <v>0</v>
      </c>
      <c r="J10" s="724">
        <f t="shared" si="6"/>
        <v>0</v>
      </c>
      <c r="K10" s="378">
        <f t="shared" si="8"/>
        <v>0</v>
      </c>
      <c r="L10" s="379">
        <f t="shared" si="9"/>
        <v>0</v>
      </c>
      <c r="M10" s="717">
        <f t="shared" si="10"/>
        <v>0</v>
      </c>
      <c r="N10" s="822" t="s">
        <v>456</v>
      </c>
      <c r="AA10" s="297"/>
      <c r="AB10" s="298"/>
      <c r="AC10" s="186"/>
      <c r="AD10" s="226"/>
      <c r="AE10" s="186"/>
      <c r="AF10" s="226"/>
      <c r="AG10" s="186"/>
      <c r="AH10" s="226"/>
      <c r="AI10" s="378">
        <f t="shared" si="11"/>
        <v>0</v>
      </c>
      <c r="AJ10" s="379">
        <f t="shared" si="12"/>
        <v>0</v>
      </c>
      <c r="AK10" s="717">
        <f t="shared" si="13"/>
        <v>0</v>
      </c>
    </row>
    <row r="11" spans="1:37" ht="12.75" customHeight="1" x14ac:dyDescent="0.2">
      <c r="A11" s="135" t="s">
        <v>419</v>
      </c>
      <c r="B11" s="329" t="s">
        <v>420</v>
      </c>
      <c r="C11" s="721">
        <f t="shared" si="7"/>
        <v>0</v>
      </c>
      <c r="D11" s="722">
        <f t="shared" si="0"/>
        <v>0</v>
      </c>
      <c r="E11" s="723">
        <f t="shared" si="1"/>
        <v>0</v>
      </c>
      <c r="F11" s="724">
        <f t="shared" si="2"/>
        <v>0</v>
      </c>
      <c r="G11" s="723">
        <f t="shared" si="3"/>
        <v>0</v>
      </c>
      <c r="H11" s="724">
        <f t="shared" si="4"/>
        <v>0</v>
      </c>
      <c r="I11" s="723">
        <f t="shared" si="5"/>
        <v>0</v>
      </c>
      <c r="J11" s="724">
        <f t="shared" si="6"/>
        <v>0</v>
      </c>
      <c r="K11" s="378">
        <f t="shared" si="8"/>
        <v>0</v>
      </c>
      <c r="L11" s="379">
        <f t="shared" si="9"/>
        <v>0</v>
      </c>
      <c r="M11" s="717">
        <f t="shared" si="10"/>
        <v>0</v>
      </c>
      <c r="N11" s="822" t="s">
        <v>457</v>
      </c>
      <c r="AA11" s="297"/>
      <c r="AB11" s="298"/>
      <c r="AC11" s="186"/>
      <c r="AD11" s="226"/>
      <c r="AE11" s="186"/>
      <c r="AF11" s="226"/>
      <c r="AG11" s="186"/>
      <c r="AH11" s="226"/>
      <c r="AI11" s="378">
        <f t="shared" si="11"/>
        <v>0</v>
      </c>
      <c r="AJ11" s="379">
        <f t="shared" si="12"/>
        <v>0</v>
      </c>
      <c r="AK11" s="717">
        <f t="shared" si="13"/>
        <v>0</v>
      </c>
    </row>
    <row r="12" spans="1:37" ht="12.75" customHeight="1" x14ac:dyDescent="0.2">
      <c r="A12" s="135" t="s">
        <v>421</v>
      </c>
      <c r="B12" s="329" t="s">
        <v>422</v>
      </c>
      <c r="C12" s="721">
        <f t="shared" si="7"/>
        <v>0</v>
      </c>
      <c r="D12" s="722">
        <f t="shared" si="0"/>
        <v>0</v>
      </c>
      <c r="E12" s="723">
        <f t="shared" si="1"/>
        <v>0</v>
      </c>
      <c r="F12" s="724">
        <f t="shared" si="2"/>
        <v>0</v>
      </c>
      <c r="G12" s="723">
        <f t="shared" si="3"/>
        <v>0</v>
      </c>
      <c r="H12" s="724">
        <f t="shared" si="4"/>
        <v>0</v>
      </c>
      <c r="I12" s="723">
        <f t="shared" si="5"/>
        <v>0</v>
      </c>
      <c r="J12" s="724">
        <f t="shared" si="6"/>
        <v>0</v>
      </c>
      <c r="K12" s="378">
        <f t="shared" si="8"/>
        <v>0</v>
      </c>
      <c r="L12" s="379">
        <f t="shared" si="9"/>
        <v>0</v>
      </c>
      <c r="M12" s="717">
        <f t="shared" si="10"/>
        <v>0</v>
      </c>
      <c r="N12" s="822" t="s">
        <v>457</v>
      </c>
      <c r="AA12" s="297"/>
      <c r="AB12" s="298"/>
      <c r="AC12" s="186"/>
      <c r="AD12" s="226"/>
      <c r="AE12" s="186"/>
      <c r="AF12" s="226"/>
      <c r="AG12" s="186"/>
      <c r="AH12" s="226"/>
      <c r="AI12" s="378">
        <f t="shared" si="11"/>
        <v>0</v>
      </c>
      <c r="AJ12" s="379">
        <f t="shared" si="12"/>
        <v>0</v>
      </c>
      <c r="AK12" s="717">
        <f t="shared" si="13"/>
        <v>0</v>
      </c>
    </row>
    <row r="13" spans="1:37" ht="12.75" customHeight="1" x14ac:dyDescent="0.2">
      <c r="A13" s="135" t="s">
        <v>423</v>
      </c>
      <c r="B13" s="329" t="s">
        <v>424</v>
      </c>
      <c r="C13" s="721">
        <f t="shared" si="7"/>
        <v>0</v>
      </c>
      <c r="D13" s="722">
        <f t="shared" si="0"/>
        <v>0</v>
      </c>
      <c r="E13" s="723">
        <f t="shared" si="1"/>
        <v>0</v>
      </c>
      <c r="F13" s="724">
        <f t="shared" si="2"/>
        <v>0</v>
      </c>
      <c r="G13" s="723">
        <f t="shared" si="3"/>
        <v>0</v>
      </c>
      <c r="H13" s="724">
        <f t="shared" si="4"/>
        <v>0</v>
      </c>
      <c r="I13" s="723">
        <f t="shared" si="5"/>
        <v>0</v>
      </c>
      <c r="J13" s="724">
        <f t="shared" si="6"/>
        <v>0</v>
      </c>
      <c r="K13" s="378">
        <f t="shared" si="8"/>
        <v>0</v>
      </c>
      <c r="L13" s="379">
        <f t="shared" si="9"/>
        <v>0</v>
      </c>
      <c r="M13" s="717">
        <f t="shared" si="10"/>
        <v>0</v>
      </c>
      <c r="N13" s="822" t="s">
        <v>457</v>
      </c>
      <c r="AA13" s="297"/>
      <c r="AB13" s="298"/>
      <c r="AC13" s="186"/>
      <c r="AD13" s="226"/>
      <c r="AE13" s="186"/>
      <c r="AF13" s="226"/>
      <c r="AG13" s="186"/>
      <c r="AH13" s="226"/>
      <c r="AI13" s="378">
        <f t="shared" si="11"/>
        <v>0</v>
      </c>
      <c r="AJ13" s="379">
        <f t="shared" si="12"/>
        <v>0</v>
      </c>
      <c r="AK13" s="717">
        <f t="shared" si="13"/>
        <v>0</v>
      </c>
    </row>
    <row r="14" spans="1:37" ht="12.75" customHeight="1" x14ac:dyDescent="0.2">
      <c r="A14" s="135" t="s">
        <v>425</v>
      </c>
      <c r="B14" s="329" t="s">
        <v>426</v>
      </c>
      <c r="C14" s="721">
        <f t="shared" si="7"/>
        <v>0</v>
      </c>
      <c r="D14" s="722">
        <f t="shared" si="0"/>
        <v>0</v>
      </c>
      <c r="E14" s="723">
        <f t="shared" si="1"/>
        <v>0</v>
      </c>
      <c r="F14" s="724">
        <f t="shared" si="2"/>
        <v>0</v>
      </c>
      <c r="G14" s="723">
        <f t="shared" si="3"/>
        <v>0</v>
      </c>
      <c r="H14" s="724">
        <f t="shared" si="4"/>
        <v>0</v>
      </c>
      <c r="I14" s="723">
        <f t="shared" si="5"/>
        <v>0</v>
      </c>
      <c r="J14" s="724">
        <f t="shared" si="6"/>
        <v>0</v>
      </c>
      <c r="K14" s="378">
        <f t="shared" si="8"/>
        <v>0</v>
      </c>
      <c r="L14" s="379">
        <f t="shared" si="9"/>
        <v>0</v>
      </c>
      <c r="M14" s="717">
        <f t="shared" si="10"/>
        <v>0</v>
      </c>
      <c r="N14" s="822" t="s">
        <v>457</v>
      </c>
      <c r="AA14" s="297"/>
      <c r="AB14" s="298"/>
      <c r="AC14" s="186"/>
      <c r="AD14" s="226"/>
      <c r="AE14" s="186"/>
      <c r="AF14" s="226"/>
      <c r="AG14" s="186"/>
      <c r="AH14" s="226"/>
      <c r="AI14" s="378">
        <f t="shared" si="11"/>
        <v>0</v>
      </c>
      <c r="AJ14" s="379">
        <f t="shared" si="12"/>
        <v>0</v>
      </c>
      <c r="AK14" s="717">
        <f t="shared" si="13"/>
        <v>0</v>
      </c>
    </row>
    <row r="15" spans="1:37" ht="12.75" customHeight="1" x14ac:dyDescent="0.2">
      <c r="A15" s="135" t="s">
        <v>1171</v>
      </c>
      <c r="B15" s="329" t="s">
        <v>1172</v>
      </c>
      <c r="C15" s="721">
        <f t="shared" si="7"/>
        <v>0</v>
      </c>
      <c r="D15" s="722">
        <f t="shared" si="0"/>
        <v>0</v>
      </c>
      <c r="E15" s="723">
        <f t="shared" si="1"/>
        <v>0</v>
      </c>
      <c r="F15" s="724">
        <f t="shared" si="2"/>
        <v>0</v>
      </c>
      <c r="G15" s="723">
        <f t="shared" si="3"/>
        <v>0</v>
      </c>
      <c r="H15" s="724">
        <f t="shared" si="4"/>
        <v>0</v>
      </c>
      <c r="I15" s="723">
        <f t="shared" si="5"/>
        <v>0</v>
      </c>
      <c r="J15" s="724">
        <f t="shared" si="6"/>
        <v>0</v>
      </c>
      <c r="K15" s="378">
        <f t="shared" si="8"/>
        <v>0</v>
      </c>
      <c r="L15" s="379">
        <f t="shared" si="9"/>
        <v>0</v>
      </c>
      <c r="M15" s="717">
        <f t="shared" si="10"/>
        <v>0</v>
      </c>
      <c r="N15" s="822" t="s">
        <v>458</v>
      </c>
      <c r="AA15" s="297"/>
      <c r="AB15" s="298"/>
      <c r="AC15" s="186"/>
      <c r="AD15" s="226"/>
      <c r="AE15" s="186"/>
      <c r="AF15" s="226"/>
      <c r="AG15" s="186"/>
      <c r="AH15" s="226"/>
      <c r="AI15" s="378">
        <f t="shared" si="11"/>
        <v>0</v>
      </c>
      <c r="AJ15" s="379">
        <f t="shared" si="12"/>
        <v>0</v>
      </c>
      <c r="AK15" s="717">
        <f t="shared" si="13"/>
        <v>0</v>
      </c>
    </row>
    <row r="16" spans="1:37" ht="12.75" customHeight="1" x14ac:dyDescent="0.2">
      <c r="A16" s="135" t="s">
        <v>1173</v>
      </c>
      <c r="B16" s="329" t="s">
        <v>1174</v>
      </c>
      <c r="C16" s="721">
        <f t="shared" si="7"/>
        <v>0</v>
      </c>
      <c r="D16" s="722">
        <f t="shared" si="0"/>
        <v>0</v>
      </c>
      <c r="E16" s="723">
        <f t="shared" si="1"/>
        <v>0</v>
      </c>
      <c r="F16" s="724">
        <f t="shared" si="2"/>
        <v>0</v>
      </c>
      <c r="G16" s="723">
        <f t="shared" si="3"/>
        <v>0</v>
      </c>
      <c r="H16" s="724">
        <f t="shared" si="4"/>
        <v>0</v>
      </c>
      <c r="I16" s="723">
        <f t="shared" si="5"/>
        <v>0</v>
      </c>
      <c r="J16" s="724">
        <f t="shared" si="6"/>
        <v>0</v>
      </c>
      <c r="K16" s="378">
        <f t="shared" si="8"/>
        <v>0</v>
      </c>
      <c r="L16" s="379">
        <f t="shared" si="9"/>
        <v>0</v>
      </c>
      <c r="M16" s="717">
        <f t="shared" si="10"/>
        <v>0</v>
      </c>
      <c r="N16" s="822" t="s">
        <v>458</v>
      </c>
      <c r="AA16" s="297"/>
      <c r="AB16" s="298"/>
      <c r="AC16" s="186"/>
      <c r="AD16" s="226"/>
      <c r="AE16" s="186"/>
      <c r="AF16" s="226"/>
      <c r="AG16" s="186"/>
      <c r="AH16" s="226"/>
      <c r="AI16" s="378">
        <f t="shared" si="11"/>
        <v>0</v>
      </c>
      <c r="AJ16" s="379">
        <f t="shared" si="12"/>
        <v>0</v>
      </c>
      <c r="AK16" s="717">
        <f t="shared" si="13"/>
        <v>0</v>
      </c>
    </row>
    <row r="17" spans="1:37" ht="12.75" customHeight="1" x14ac:dyDescent="0.2">
      <c r="A17" s="135" t="s">
        <v>978</v>
      </c>
      <c r="B17" s="329" t="s">
        <v>982</v>
      </c>
      <c r="C17" s="721">
        <f t="shared" ref="C17:C21" si="14">ROUND(AA17,0)</f>
        <v>0</v>
      </c>
      <c r="D17" s="722">
        <f t="shared" ref="D17:D21" si="15">ROUND(AB17,0)</f>
        <v>0</v>
      </c>
      <c r="E17" s="723">
        <f t="shared" ref="E17:E21" si="16">ROUND(AC17,0)</f>
        <v>0</v>
      </c>
      <c r="F17" s="724">
        <f t="shared" ref="F17:F21" si="17">ROUND(AD17,0)</f>
        <v>0</v>
      </c>
      <c r="G17" s="723">
        <f t="shared" ref="G17:G21" si="18">ROUND(AE17,0)</f>
        <v>0</v>
      </c>
      <c r="H17" s="724">
        <f t="shared" ref="H17:H21" si="19">ROUND(AF17,0)</f>
        <v>0</v>
      </c>
      <c r="I17" s="723">
        <f t="shared" ref="I17:I21" si="20">ROUND(AG17,0)</f>
        <v>0</v>
      </c>
      <c r="J17" s="724">
        <f t="shared" ref="J17:J21" si="21">ROUND(AH17,0)</f>
        <v>0</v>
      </c>
      <c r="K17" s="378">
        <f t="shared" ref="K17:K21" si="22">E17+G17+I17</f>
        <v>0</v>
      </c>
      <c r="L17" s="379">
        <f t="shared" ref="L17:L21" si="23">F17+H17+J17</f>
        <v>0</v>
      </c>
      <c r="M17" s="717">
        <f t="shared" ref="M17:M21" si="24">K17+L17</f>
        <v>0</v>
      </c>
      <c r="N17" s="822" t="s">
        <v>267</v>
      </c>
      <c r="AA17" s="297"/>
      <c r="AB17" s="298"/>
      <c r="AC17" s="186"/>
      <c r="AD17" s="226"/>
      <c r="AE17" s="186"/>
      <c r="AF17" s="226"/>
      <c r="AG17" s="186"/>
      <c r="AH17" s="226"/>
      <c r="AI17" s="378">
        <f t="shared" ref="AI17:AI21" si="25">AC17+AE17+AG17</f>
        <v>0</v>
      </c>
      <c r="AJ17" s="379">
        <f t="shared" ref="AJ17:AJ21" si="26">AD17+AF17+AH17</f>
        <v>0</v>
      </c>
      <c r="AK17" s="717">
        <f t="shared" ref="AK17:AK21" si="27">AI17+AJ17</f>
        <v>0</v>
      </c>
    </row>
    <row r="18" spans="1:37" ht="12.75" customHeight="1" x14ac:dyDescent="0.2">
      <c r="A18" s="135" t="s">
        <v>979</v>
      </c>
      <c r="B18" s="329" t="s">
        <v>1073</v>
      </c>
      <c r="C18" s="721">
        <f t="shared" si="14"/>
        <v>0</v>
      </c>
      <c r="D18" s="722">
        <f t="shared" si="15"/>
        <v>0</v>
      </c>
      <c r="E18" s="723">
        <f t="shared" si="16"/>
        <v>0</v>
      </c>
      <c r="F18" s="724">
        <f t="shared" si="17"/>
        <v>0</v>
      </c>
      <c r="G18" s="723">
        <f t="shared" si="18"/>
        <v>0</v>
      </c>
      <c r="H18" s="724">
        <f t="shared" si="19"/>
        <v>0</v>
      </c>
      <c r="I18" s="723">
        <f t="shared" si="20"/>
        <v>0</v>
      </c>
      <c r="J18" s="724">
        <f t="shared" si="21"/>
        <v>0</v>
      </c>
      <c r="K18" s="378">
        <f t="shared" si="22"/>
        <v>0</v>
      </c>
      <c r="L18" s="379">
        <f t="shared" si="23"/>
        <v>0</v>
      </c>
      <c r="M18" s="717">
        <f t="shared" si="24"/>
        <v>0</v>
      </c>
      <c r="N18" s="822" t="s">
        <v>267</v>
      </c>
      <c r="AA18" s="297"/>
      <c r="AB18" s="298"/>
      <c r="AC18" s="186"/>
      <c r="AD18" s="226"/>
      <c r="AE18" s="186"/>
      <c r="AF18" s="226"/>
      <c r="AG18" s="186"/>
      <c r="AH18" s="226"/>
      <c r="AI18" s="378">
        <f t="shared" si="25"/>
        <v>0</v>
      </c>
      <c r="AJ18" s="379">
        <f t="shared" si="26"/>
        <v>0</v>
      </c>
      <c r="AK18" s="717">
        <f t="shared" si="27"/>
        <v>0</v>
      </c>
    </row>
    <row r="19" spans="1:37" ht="12.75" customHeight="1" x14ac:dyDescent="0.2">
      <c r="A19" s="135" t="s">
        <v>980</v>
      </c>
      <c r="B19" s="329" t="s">
        <v>1074</v>
      </c>
      <c r="C19" s="721">
        <f t="shared" si="14"/>
        <v>0</v>
      </c>
      <c r="D19" s="722">
        <f t="shared" si="15"/>
        <v>1</v>
      </c>
      <c r="E19" s="723">
        <f t="shared" si="16"/>
        <v>0</v>
      </c>
      <c r="F19" s="724">
        <f t="shared" si="17"/>
        <v>0</v>
      </c>
      <c r="G19" s="723">
        <f t="shared" si="18"/>
        <v>0</v>
      </c>
      <c r="H19" s="724">
        <f t="shared" si="19"/>
        <v>1</v>
      </c>
      <c r="I19" s="723">
        <f t="shared" si="20"/>
        <v>0</v>
      </c>
      <c r="J19" s="724">
        <f t="shared" si="21"/>
        <v>0</v>
      </c>
      <c r="K19" s="378">
        <f t="shared" si="22"/>
        <v>0</v>
      </c>
      <c r="L19" s="379">
        <f t="shared" si="23"/>
        <v>1</v>
      </c>
      <c r="M19" s="717">
        <f t="shared" si="24"/>
        <v>1</v>
      </c>
      <c r="N19" s="822" t="s">
        <v>267</v>
      </c>
      <c r="AA19" s="297"/>
      <c r="AB19" s="298">
        <v>1</v>
      </c>
      <c r="AC19" s="186"/>
      <c r="AD19" s="226"/>
      <c r="AE19" s="186"/>
      <c r="AF19" s="226">
        <v>1</v>
      </c>
      <c r="AG19" s="186"/>
      <c r="AH19" s="226"/>
      <c r="AI19" s="378">
        <f t="shared" si="25"/>
        <v>0</v>
      </c>
      <c r="AJ19" s="379">
        <f t="shared" si="26"/>
        <v>1</v>
      </c>
      <c r="AK19" s="717">
        <f t="shared" si="27"/>
        <v>1</v>
      </c>
    </row>
    <row r="20" spans="1:37" ht="12.75" customHeight="1" x14ac:dyDescent="0.2">
      <c r="A20" s="135" t="s">
        <v>981</v>
      </c>
      <c r="B20" s="329" t="s">
        <v>1075</v>
      </c>
      <c r="C20" s="721">
        <f t="shared" si="14"/>
        <v>0</v>
      </c>
      <c r="D20" s="722">
        <f t="shared" si="15"/>
        <v>0</v>
      </c>
      <c r="E20" s="723">
        <f t="shared" si="16"/>
        <v>0</v>
      </c>
      <c r="F20" s="724">
        <f t="shared" si="17"/>
        <v>0</v>
      </c>
      <c r="G20" s="723">
        <f t="shared" si="18"/>
        <v>0</v>
      </c>
      <c r="H20" s="724">
        <f t="shared" si="19"/>
        <v>0</v>
      </c>
      <c r="I20" s="723">
        <f t="shared" si="20"/>
        <v>0</v>
      </c>
      <c r="J20" s="724">
        <f t="shared" si="21"/>
        <v>0</v>
      </c>
      <c r="K20" s="378">
        <f t="shared" si="22"/>
        <v>0</v>
      </c>
      <c r="L20" s="379">
        <f t="shared" si="23"/>
        <v>0</v>
      </c>
      <c r="M20" s="717">
        <f t="shared" si="24"/>
        <v>0</v>
      </c>
      <c r="N20" s="822" t="s">
        <v>267</v>
      </c>
      <c r="AA20" s="297"/>
      <c r="AB20" s="298"/>
      <c r="AC20" s="186"/>
      <c r="AD20" s="226"/>
      <c r="AE20" s="186"/>
      <c r="AF20" s="226"/>
      <c r="AG20" s="186"/>
      <c r="AH20" s="226"/>
      <c r="AI20" s="378">
        <f t="shared" si="25"/>
        <v>0</v>
      </c>
      <c r="AJ20" s="379">
        <f t="shared" si="26"/>
        <v>0</v>
      </c>
      <c r="AK20" s="717">
        <f t="shared" si="27"/>
        <v>0</v>
      </c>
    </row>
    <row r="21" spans="1:37" ht="12.75" customHeight="1" thickBot="1" x14ac:dyDescent="0.25">
      <c r="A21" s="135" t="s">
        <v>1072</v>
      </c>
      <c r="B21" s="330" t="s">
        <v>427</v>
      </c>
      <c r="C21" s="721">
        <f t="shared" si="14"/>
        <v>0</v>
      </c>
      <c r="D21" s="722">
        <f t="shared" si="15"/>
        <v>0</v>
      </c>
      <c r="E21" s="723">
        <f t="shared" si="16"/>
        <v>0</v>
      </c>
      <c r="F21" s="724">
        <f t="shared" si="17"/>
        <v>0</v>
      </c>
      <c r="G21" s="723">
        <f t="shared" si="18"/>
        <v>0</v>
      </c>
      <c r="H21" s="724">
        <f t="shared" si="19"/>
        <v>0</v>
      </c>
      <c r="I21" s="723">
        <f t="shared" si="20"/>
        <v>0</v>
      </c>
      <c r="J21" s="724">
        <f t="shared" si="21"/>
        <v>0</v>
      </c>
      <c r="K21" s="378">
        <f t="shared" si="22"/>
        <v>0</v>
      </c>
      <c r="L21" s="379">
        <f t="shared" si="23"/>
        <v>0</v>
      </c>
      <c r="M21" s="717">
        <f t="shared" si="24"/>
        <v>0</v>
      </c>
      <c r="N21" s="822" t="s">
        <v>267</v>
      </c>
      <c r="AA21" s="297"/>
      <c r="AB21" s="298"/>
      <c r="AC21" s="186"/>
      <c r="AD21" s="226"/>
      <c r="AE21" s="186"/>
      <c r="AF21" s="226"/>
      <c r="AG21" s="186"/>
      <c r="AH21" s="226"/>
      <c r="AI21" s="378">
        <f t="shared" si="25"/>
        <v>0</v>
      </c>
      <c r="AJ21" s="379">
        <f t="shared" si="26"/>
        <v>0</v>
      </c>
      <c r="AK21" s="717">
        <f t="shared" si="27"/>
        <v>0</v>
      </c>
    </row>
    <row r="22" spans="1:37" ht="15.75" customHeight="1" thickTop="1" thickBot="1" x14ac:dyDescent="0.25">
      <c r="A22" s="276" t="s">
        <v>60</v>
      </c>
      <c r="B22" s="10"/>
      <c r="C22" s="380">
        <f t="shared" ref="C22:L22" si="28">SUM(C6:C21)</f>
        <v>0</v>
      </c>
      <c r="D22" s="381">
        <f t="shared" si="28"/>
        <v>1</v>
      </c>
      <c r="E22" s="380">
        <f t="shared" si="28"/>
        <v>0</v>
      </c>
      <c r="F22" s="381">
        <f t="shared" si="28"/>
        <v>0</v>
      </c>
      <c r="G22" s="380">
        <f t="shared" si="28"/>
        <v>0</v>
      </c>
      <c r="H22" s="381">
        <f t="shared" si="28"/>
        <v>1</v>
      </c>
      <c r="I22" s="380">
        <f t="shared" si="28"/>
        <v>0</v>
      </c>
      <c r="J22" s="381">
        <f t="shared" si="28"/>
        <v>0</v>
      </c>
      <c r="K22" s="380">
        <f t="shared" si="28"/>
        <v>0</v>
      </c>
      <c r="L22" s="382">
        <f t="shared" si="28"/>
        <v>1</v>
      </c>
      <c r="M22" s="717"/>
      <c r="AA22" s="380">
        <f t="shared" ref="AA22:AJ22" si="29">SUM(AA6:AA21)</f>
        <v>0</v>
      </c>
      <c r="AB22" s="381">
        <f t="shared" si="29"/>
        <v>1</v>
      </c>
      <c r="AC22" s="380">
        <f t="shared" si="29"/>
        <v>0</v>
      </c>
      <c r="AD22" s="381">
        <f t="shared" si="29"/>
        <v>0</v>
      </c>
      <c r="AE22" s="380">
        <f t="shared" si="29"/>
        <v>0</v>
      </c>
      <c r="AF22" s="381">
        <f t="shared" si="29"/>
        <v>1</v>
      </c>
      <c r="AG22" s="380">
        <f t="shared" si="29"/>
        <v>0</v>
      </c>
      <c r="AH22" s="381">
        <f t="shared" si="29"/>
        <v>0</v>
      </c>
      <c r="AI22" s="380">
        <f t="shared" si="29"/>
        <v>0</v>
      </c>
      <c r="AJ22" s="382">
        <f t="shared" si="29"/>
        <v>1</v>
      </c>
      <c r="AK22" s="717"/>
    </row>
    <row r="23" spans="1:37" ht="18.75" customHeight="1" x14ac:dyDescent="0.2">
      <c r="A23" s="3" t="s">
        <v>165</v>
      </c>
    </row>
    <row r="24" spans="1:37" x14ac:dyDescent="0.2">
      <c r="A24" s="659" t="str">
        <f>"(*) inserire i dati comunicati nella tab.1 (colonna presenti al 31/12/"&amp;L1-1&amp;") della rilevazione dell'anno precedente"</f>
        <v>(*) inserire i dati comunicati nella tab.1 (colonna presenti al 31/12/2023) della rilevazione dell'anno precedente</v>
      </c>
    </row>
    <row r="25" spans="1:37" x14ac:dyDescent="0.2">
      <c r="A25" s="3" t="s">
        <v>139</v>
      </c>
    </row>
    <row r="26" spans="1:37" ht="12.75" x14ac:dyDescent="0.2">
      <c r="D26" s="660"/>
      <c r="AB26" s="660"/>
    </row>
  </sheetData>
  <sheetProtection algorithmName="SHA-512" hashValue="2aGH49pA4yaZqkiWluT34PVO2FfvoEldLrWDcYqH1t//VtPutHTbKdyxiFH2GMVgyD35kzQNeSleYAiZXuJUdg==" saltValue="gDqbPlkFzZCT5bQonrNRuw==" spinCount="100000" sheet="1" formatColumns="0" selectLockedCells="1"/>
  <mergeCells count="5">
    <mergeCell ref="AE2:AJ2"/>
    <mergeCell ref="AA3:AJ3"/>
    <mergeCell ref="C3:L3"/>
    <mergeCell ref="B4:B5"/>
    <mergeCell ref="G2:L2"/>
  </mergeCells>
  <phoneticPr fontId="30" type="noConversion"/>
  <conditionalFormatting sqref="A6:L21 AA6:AJ21">
    <cfRule type="expression" dxfId="50" priority="2" stopIfTrue="1">
      <formula>$M6&gt;0</formula>
    </cfRule>
  </conditionalFormatting>
  <printOptions horizontalCentered="1" verticalCentered="1"/>
  <pageMargins left="0" right="0" top="0.15748031496062992" bottom="0.15748031496062992" header="0.19685039370078741" footer="0.19685039370078741"/>
  <pageSetup paperSize="9" scale="85" orientation="landscape" horizontalDpi="300" vertic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9B3B86-116A-49F2-AFB9-EB5E68CDB0E5}">
  <dimension ref="A1:IX10"/>
  <sheetViews>
    <sheetView workbookViewId="0">
      <selection activeCell="AB9" sqref="AB9"/>
    </sheetView>
  </sheetViews>
  <sheetFormatPr defaultRowHeight="10.5" x14ac:dyDescent="0.15"/>
  <cols>
    <col min="1" max="1" width="39.5" customWidth="1"/>
    <col min="2" max="2" width="9.1640625" customWidth="1"/>
    <col min="3" max="18" width="9.1640625" hidden="1" customWidth="1"/>
    <col min="19" max="20" width="11.33203125" hidden="1" customWidth="1"/>
    <col min="21" max="26" width="9.1640625" hidden="1" customWidth="1"/>
    <col min="39" max="42" width="0" hidden="1" customWidth="1"/>
    <col min="43" max="44" width="11.33203125" customWidth="1"/>
    <col min="45" max="45" width="3" customWidth="1"/>
    <col min="46" max="47" width="11" customWidth="1"/>
    <col min="49" max="50" width="18.5" customWidth="1"/>
  </cols>
  <sheetData>
    <row r="1" spans="1:258" s="3" customFormat="1" ht="43.5" customHeight="1" x14ac:dyDescent="0.2">
      <c r="A1" s="1447" t="str">
        <f>'t1'!A1</f>
        <v>ENTI PUBBLICI NON ECONOMICI - anno 2024</v>
      </c>
      <c r="B1" s="1447"/>
      <c r="C1" s="1447"/>
      <c r="D1" s="1447"/>
      <c r="E1" s="1447"/>
      <c r="F1" s="1447"/>
      <c r="G1" s="1447"/>
      <c r="H1" s="1447"/>
      <c r="I1" s="1447"/>
      <c r="J1" s="1447"/>
      <c r="K1" s="1447"/>
      <c r="L1" s="1447"/>
      <c r="M1" s="1447"/>
      <c r="N1" s="1447"/>
      <c r="O1" s="1447"/>
      <c r="P1" s="1447"/>
      <c r="Q1" s="1447"/>
      <c r="R1" s="1447"/>
      <c r="S1" s="1447"/>
      <c r="T1" s="1447"/>
      <c r="U1" s="1447"/>
      <c r="V1" s="1447"/>
      <c r="W1" s="1447"/>
      <c r="X1" s="1447"/>
      <c r="Y1" s="1447"/>
      <c r="Z1" s="1447"/>
      <c r="AA1" s="1447"/>
      <c r="AB1" s="1447"/>
      <c r="AC1" s="1447"/>
      <c r="AD1" s="1447"/>
      <c r="AE1" s="1447"/>
      <c r="AF1" s="1447"/>
      <c r="AG1" s="1447"/>
      <c r="AH1" s="1447"/>
      <c r="AI1" s="1447"/>
      <c r="AJ1" s="1447"/>
      <c r="AK1" s="1447"/>
      <c r="AL1" s="1447"/>
      <c r="AM1" s="1447"/>
      <c r="AN1" s="1447"/>
      <c r="AO1" s="1447"/>
      <c r="AP1" s="1447"/>
      <c r="AQ1" s="1447"/>
      <c r="AR1" s="1447"/>
      <c r="AS1" s="1447"/>
      <c r="AT1" s="1447"/>
      <c r="AU1" s="1447"/>
    </row>
    <row r="2" spans="1:258" s="3" customFormat="1" ht="30" customHeight="1" x14ac:dyDescent="0.2">
      <c r="A2" s="1447"/>
      <c r="B2" s="1447"/>
      <c r="C2" s="1447"/>
      <c r="D2" s="1447"/>
      <c r="E2" s="1447"/>
      <c r="F2" s="1447"/>
      <c r="G2" s="1447"/>
      <c r="H2" s="1447"/>
      <c r="I2" s="1447"/>
      <c r="J2" s="1447"/>
      <c r="K2" s="1447"/>
      <c r="L2" s="1447"/>
      <c r="M2" s="1447"/>
      <c r="N2" s="1447"/>
      <c r="O2" s="1447"/>
      <c r="P2" s="1447"/>
      <c r="Q2" s="1447"/>
      <c r="R2" s="1447"/>
      <c r="S2" s="1447"/>
      <c r="T2" s="1447"/>
      <c r="U2" s="1447"/>
      <c r="V2" s="1447"/>
      <c r="W2" s="1447"/>
      <c r="X2" s="1447"/>
      <c r="Y2" s="1447"/>
      <c r="Z2" s="1447"/>
      <c r="AA2" s="1447"/>
      <c r="AB2" s="1447"/>
      <c r="AC2" s="1447"/>
      <c r="AD2" s="1447"/>
      <c r="AE2" s="1447"/>
      <c r="AF2" s="1447"/>
      <c r="AG2" s="1447"/>
      <c r="AH2" s="1447"/>
      <c r="AI2" s="1447"/>
      <c r="AJ2" s="1447"/>
      <c r="AK2" s="1447"/>
      <c r="AL2" s="1447"/>
      <c r="AM2" s="1447"/>
      <c r="AN2" s="1447"/>
      <c r="AO2" s="1447"/>
      <c r="AP2" s="1447"/>
      <c r="AQ2" s="1447"/>
      <c r="AR2" s="1447"/>
      <c r="AS2" s="1447"/>
      <c r="AT2" s="1447"/>
      <c r="AU2" s="1447"/>
    </row>
    <row r="3" spans="1:258" s="3" customFormat="1" ht="4.9000000000000004" customHeight="1" thickBot="1" x14ac:dyDescent="0.25">
      <c r="A3" s="318"/>
      <c r="B3" s="318"/>
      <c r="C3" s="318"/>
      <c r="D3" s="318"/>
      <c r="E3" s="318"/>
      <c r="F3" s="318"/>
      <c r="G3" s="318"/>
      <c r="H3" s="318"/>
      <c r="I3" s="318"/>
      <c r="J3" s="318"/>
      <c r="K3" s="318"/>
      <c r="L3" s="318"/>
      <c r="M3" s="318"/>
      <c r="N3" s="318"/>
      <c r="O3" s="318"/>
      <c r="P3" s="318"/>
      <c r="Q3" s="318"/>
      <c r="R3" s="318"/>
      <c r="S3" s="318"/>
      <c r="T3" s="318"/>
      <c r="U3" s="318"/>
      <c r="V3" s="318"/>
      <c r="W3" s="318"/>
      <c r="X3" s="318"/>
      <c r="Y3" s="318"/>
      <c r="Z3" s="318"/>
      <c r="AA3" s="318"/>
      <c r="AB3" s="318"/>
      <c r="AC3" s="318"/>
      <c r="AD3" s="318"/>
      <c r="AE3" s="318"/>
      <c r="AF3" s="318"/>
      <c r="AG3" s="318"/>
      <c r="AH3" s="318"/>
      <c r="AI3" s="318"/>
      <c r="AJ3" s="318"/>
      <c r="AK3" s="318"/>
      <c r="AL3" s="318"/>
      <c r="AM3" s="318"/>
      <c r="AN3" s="318"/>
      <c r="AO3" s="318"/>
      <c r="AP3" s="318"/>
      <c r="AQ3" s="318"/>
      <c r="AR3" s="318"/>
      <c r="AS3" s="318"/>
      <c r="AT3" s="318"/>
      <c r="AU3" s="318"/>
    </row>
    <row r="4" spans="1:258" ht="13.5" thickBot="1" x14ac:dyDescent="0.25">
      <c r="A4" s="1454" t="s">
        <v>1166</v>
      </c>
      <c r="B4" s="1457" t="s">
        <v>97</v>
      </c>
      <c r="C4" s="1460" t="s">
        <v>1062</v>
      </c>
      <c r="D4" s="1461"/>
      <c r="E4" s="1461"/>
      <c r="F4" s="1461"/>
      <c r="G4" s="1461"/>
      <c r="H4" s="1461"/>
      <c r="I4" s="1461"/>
      <c r="J4" s="1461"/>
      <c r="K4" s="1461"/>
      <c r="L4" s="1461"/>
      <c r="M4" s="1461"/>
      <c r="N4" s="1461"/>
      <c r="O4" s="1461"/>
      <c r="P4" s="1461"/>
      <c r="Q4" s="1461"/>
      <c r="R4" s="1461"/>
      <c r="S4" s="1461"/>
      <c r="T4" s="1462"/>
      <c r="U4" s="1293"/>
      <c r="V4" s="1293"/>
      <c r="W4" s="1293"/>
      <c r="X4" s="1293"/>
      <c r="Y4" s="1293"/>
      <c r="Z4" s="1293"/>
      <c r="AA4" s="1463" t="s">
        <v>1062</v>
      </c>
      <c r="AB4" s="1461"/>
      <c r="AC4" s="1461"/>
      <c r="AD4" s="1461"/>
      <c r="AE4" s="1461"/>
      <c r="AF4" s="1461"/>
      <c r="AG4" s="1461"/>
      <c r="AH4" s="1461"/>
      <c r="AI4" s="1461"/>
      <c r="AJ4" s="1461"/>
      <c r="AK4" s="1461"/>
      <c r="AL4" s="1461"/>
      <c r="AM4" s="1461"/>
      <c r="AN4" s="1461"/>
      <c r="AO4" s="1461"/>
      <c r="AP4" s="1461"/>
      <c r="AQ4" s="1461"/>
      <c r="AR4" s="1462"/>
      <c r="AT4" s="1294" t="s">
        <v>1162</v>
      </c>
      <c r="AU4" s="1295"/>
      <c r="AV4" s="1293"/>
      <c r="AW4" s="1466" t="s">
        <v>1178</v>
      </c>
      <c r="AX4" s="1467"/>
      <c r="AY4" s="1293"/>
      <c r="AZ4" s="1293"/>
      <c r="BA4" s="1293"/>
      <c r="BB4" s="1293"/>
      <c r="BC4" s="1293"/>
      <c r="BD4" s="1293"/>
      <c r="BE4" s="1293"/>
      <c r="BF4" s="1293"/>
      <c r="BG4" s="1293"/>
      <c r="BH4" s="1293"/>
      <c r="BI4" s="1293"/>
      <c r="BJ4" s="1293"/>
      <c r="BK4" s="1293"/>
      <c r="BL4" s="1293"/>
      <c r="BM4" s="1293"/>
      <c r="BN4" s="1293"/>
      <c r="BO4" s="1293"/>
      <c r="BP4" s="1293"/>
      <c r="BQ4" s="1293"/>
      <c r="BR4" s="1293"/>
      <c r="BS4" s="1293"/>
      <c r="BT4" s="1293"/>
      <c r="BU4" s="1293"/>
      <c r="BV4" s="1293"/>
      <c r="BW4" s="1293"/>
      <c r="BX4" s="1293"/>
      <c r="BY4" s="1293"/>
      <c r="BZ4" s="1293"/>
      <c r="CA4" s="1293"/>
      <c r="CB4" s="1293"/>
      <c r="CC4" s="1293"/>
      <c r="CD4" s="1293"/>
      <c r="CE4" s="1293"/>
      <c r="CF4" s="1293"/>
      <c r="CG4" s="1293"/>
      <c r="CH4" s="1293"/>
      <c r="CI4" s="1293"/>
      <c r="CJ4" s="1293"/>
      <c r="CK4" s="1293"/>
      <c r="CL4" s="1293"/>
      <c r="CM4" s="1293"/>
      <c r="CN4" s="1293"/>
      <c r="CO4" s="1293"/>
      <c r="CP4" s="1293"/>
      <c r="CQ4" s="1293"/>
      <c r="CR4" s="1293"/>
      <c r="CS4" s="1293"/>
      <c r="CT4" s="1293"/>
      <c r="CU4" s="1293"/>
      <c r="CV4" s="1293"/>
      <c r="CW4" s="1293"/>
      <c r="CX4" s="1293"/>
      <c r="CY4" s="1293"/>
      <c r="CZ4" s="1293"/>
      <c r="DA4" s="1293"/>
      <c r="DB4" s="1293"/>
      <c r="DC4" s="1293"/>
      <c r="DD4" s="1293"/>
      <c r="DE4" s="1293"/>
      <c r="DF4" s="1293"/>
      <c r="DG4" s="1293"/>
      <c r="DH4" s="1293"/>
      <c r="DI4" s="1293"/>
      <c r="DJ4" s="1293"/>
      <c r="DK4" s="1293"/>
      <c r="DL4" s="1293"/>
      <c r="DM4" s="1293"/>
      <c r="DN4" s="1293"/>
      <c r="DO4" s="1293"/>
      <c r="DP4" s="1293"/>
      <c r="DQ4" s="1293"/>
      <c r="DR4" s="1293"/>
      <c r="DS4" s="1293"/>
      <c r="DT4" s="1293"/>
      <c r="DU4" s="1293"/>
      <c r="DV4" s="1293"/>
      <c r="DW4" s="1293"/>
      <c r="DX4" s="1293"/>
      <c r="DY4" s="1293"/>
      <c r="DZ4" s="1293"/>
      <c r="EA4" s="1293"/>
      <c r="EB4" s="1293"/>
      <c r="EC4" s="1293"/>
      <c r="ED4" s="1293"/>
      <c r="EE4" s="1293"/>
      <c r="EF4" s="1293"/>
      <c r="EG4" s="1293"/>
      <c r="EH4" s="1293"/>
      <c r="EI4" s="1293"/>
      <c r="EJ4" s="1293"/>
      <c r="EK4" s="1293"/>
      <c r="EL4" s="1293"/>
      <c r="EM4" s="1293"/>
      <c r="EN4" s="1293"/>
      <c r="EO4" s="1293"/>
      <c r="EP4" s="1293"/>
      <c r="EQ4" s="1293"/>
      <c r="ER4" s="1293"/>
      <c r="ES4" s="1293"/>
      <c r="ET4" s="1293"/>
      <c r="EU4" s="1293"/>
      <c r="EV4" s="1293"/>
      <c r="EW4" s="1293"/>
      <c r="EX4" s="1293"/>
      <c r="EY4" s="1293"/>
      <c r="EZ4" s="1293"/>
      <c r="FA4" s="1293"/>
      <c r="FB4" s="1293"/>
      <c r="FC4" s="1293"/>
      <c r="FD4" s="1293"/>
      <c r="FE4" s="1293"/>
      <c r="FF4" s="1293"/>
      <c r="FG4" s="1293"/>
      <c r="FH4" s="1293"/>
      <c r="FI4" s="1293"/>
      <c r="FJ4" s="1293"/>
      <c r="FK4" s="1293"/>
      <c r="FL4" s="1293"/>
      <c r="FM4" s="1293"/>
      <c r="FN4" s="1293"/>
      <c r="FO4" s="1293"/>
      <c r="FP4" s="1293"/>
      <c r="FQ4" s="1293"/>
      <c r="FR4" s="1293"/>
      <c r="FS4" s="1293"/>
      <c r="FT4" s="1293"/>
      <c r="FU4" s="1293"/>
      <c r="FV4" s="1293"/>
      <c r="FW4" s="1293"/>
      <c r="FX4" s="1293"/>
      <c r="FY4" s="1293"/>
      <c r="FZ4" s="1293"/>
      <c r="GA4" s="1293"/>
      <c r="GB4" s="1293"/>
      <c r="GC4" s="1293"/>
      <c r="GD4" s="1293"/>
      <c r="GE4" s="1293"/>
      <c r="GF4" s="1293"/>
      <c r="GG4" s="1293"/>
      <c r="GH4" s="1293"/>
      <c r="GI4" s="1293"/>
      <c r="GJ4" s="1293"/>
      <c r="GK4" s="1293"/>
      <c r="GL4" s="1293"/>
      <c r="GM4" s="1293"/>
      <c r="GN4" s="1293"/>
      <c r="GO4" s="1293"/>
      <c r="GP4" s="1293"/>
      <c r="GQ4" s="1293"/>
      <c r="GR4" s="1293"/>
      <c r="GS4" s="1293"/>
      <c r="GT4" s="1293"/>
      <c r="GU4" s="1293"/>
      <c r="GV4" s="1293"/>
      <c r="GW4" s="1293"/>
      <c r="GX4" s="1293"/>
      <c r="GY4" s="1293"/>
      <c r="GZ4" s="1293"/>
      <c r="HA4" s="1293"/>
      <c r="HB4" s="1293"/>
      <c r="HC4" s="1293"/>
      <c r="HD4" s="1293"/>
      <c r="HE4" s="1293"/>
      <c r="HF4" s="1293"/>
      <c r="HG4" s="1293"/>
      <c r="HH4" s="1293"/>
      <c r="HI4" s="1293"/>
      <c r="HJ4" s="1293"/>
      <c r="HK4" s="1293"/>
      <c r="HL4" s="1293"/>
      <c r="HM4" s="1293"/>
      <c r="HN4" s="1293"/>
      <c r="HO4" s="1293"/>
      <c r="HP4" s="1293"/>
      <c r="HQ4" s="1293"/>
      <c r="HR4" s="1293"/>
      <c r="HS4" s="1293"/>
      <c r="HT4" s="1293"/>
      <c r="HU4" s="1293"/>
      <c r="HV4" s="1293"/>
      <c r="HW4" s="1293"/>
      <c r="HX4" s="1293"/>
      <c r="HY4" s="1293"/>
      <c r="HZ4" s="1293"/>
      <c r="IA4" s="1293"/>
      <c r="IB4" s="1293"/>
      <c r="IC4" s="1293"/>
      <c r="ID4" s="1293"/>
      <c r="IE4" s="1293"/>
      <c r="IF4" s="1293"/>
      <c r="IG4" s="1293"/>
      <c r="IH4" s="1293"/>
      <c r="II4" s="1293"/>
      <c r="IJ4" s="1293"/>
      <c r="IK4" s="1293"/>
      <c r="IL4" s="1293"/>
      <c r="IM4" s="1293"/>
      <c r="IN4" s="1293"/>
      <c r="IO4" s="1293"/>
      <c r="IP4" s="1293"/>
      <c r="IQ4" s="1293"/>
      <c r="IR4" s="1293"/>
      <c r="IS4" s="1293"/>
      <c r="IT4" s="1293"/>
      <c r="IU4" s="1293"/>
      <c r="IV4" s="1293"/>
      <c r="IW4" s="1293"/>
      <c r="IX4" s="1293"/>
    </row>
    <row r="5" spans="1:258" ht="34.15" customHeight="1" thickBot="1" x14ac:dyDescent="0.2">
      <c r="A5" s="1455"/>
      <c r="B5" s="1458"/>
      <c r="C5" s="1464" t="s">
        <v>1063</v>
      </c>
      <c r="D5" s="1465"/>
      <c r="E5" s="1448" t="s">
        <v>1064</v>
      </c>
      <c r="F5" s="1449"/>
      <c r="G5" s="1448" t="s">
        <v>1065</v>
      </c>
      <c r="H5" s="1449"/>
      <c r="I5" s="1448" t="s">
        <v>1066</v>
      </c>
      <c r="J5" s="1449"/>
      <c r="K5" s="1448" t="s">
        <v>1067</v>
      </c>
      <c r="L5" s="1449"/>
      <c r="M5" s="1448" t="s">
        <v>1068</v>
      </c>
      <c r="N5" s="1449"/>
      <c r="O5" s="1347"/>
      <c r="P5" s="1347"/>
      <c r="Q5" s="1347"/>
      <c r="R5" s="1347"/>
      <c r="S5" s="1448" t="s">
        <v>1069</v>
      </c>
      <c r="T5" s="1450"/>
      <c r="U5" s="1296"/>
      <c r="V5" s="1296"/>
      <c r="W5" s="1296"/>
      <c r="X5" s="1296"/>
      <c r="Y5" s="1296"/>
      <c r="Z5" s="1296"/>
      <c r="AA5" s="1453" t="s">
        <v>1070</v>
      </c>
      <c r="AB5" s="1449"/>
      <c r="AC5" s="1448" t="s">
        <v>1064</v>
      </c>
      <c r="AD5" s="1449"/>
      <c r="AE5" s="1448" t="s">
        <v>1065</v>
      </c>
      <c r="AF5" s="1449"/>
      <c r="AG5" s="1448" t="s">
        <v>1066</v>
      </c>
      <c r="AH5" s="1449"/>
      <c r="AI5" s="1448" t="s">
        <v>1067</v>
      </c>
      <c r="AJ5" s="1449"/>
      <c r="AK5" s="1448" t="s">
        <v>1068</v>
      </c>
      <c r="AL5" s="1449"/>
      <c r="AM5" s="1448" t="s">
        <v>1088</v>
      </c>
      <c r="AN5" s="1449"/>
      <c r="AO5" s="1448" t="s">
        <v>1089</v>
      </c>
      <c r="AP5" s="1449"/>
      <c r="AQ5" s="1448" t="str">
        <f>"TOTALE 
dipendenti al 31/12/"&amp;'t1'!L1&amp;" "</f>
        <v xml:space="preserve">TOTALE 
dipendenti al 31/12/2024 </v>
      </c>
      <c r="AR5" s="1450"/>
      <c r="AT5" s="1451" t="s">
        <v>1071</v>
      </c>
      <c r="AU5" s="1452"/>
      <c r="AV5" s="1296"/>
      <c r="AW5" s="1381" t="s">
        <v>1179</v>
      </c>
      <c r="AX5" s="1382" t="s">
        <v>1180</v>
      </c>
      <c r="AY5" s="1296"/>
      <c r="AZ5" s="1296"/>
      <c r="BA5" s="1296"/>
      <c r="BB5" s="1296"/>
      <c r="BC5" s="1296"/>
      <c r="BD5" s="1296"/>
      <c r="BE5" s="1296"/>
      <c r="BF5" s="1296"/>
      <c r="BG5" s="1296"/>
      <c r="BH5" s="1296"/>
      <c r="BI5" s="1296"/>
      <c r="BJ5" s="1296"/>
      <c r="BK5" s="1296"/>
      <c r="BL5" s="1296"/>
      <c r="BM5" s="1296"/>
      <c r="BN5" s="1296"/>
      <c r="BO5" s="1296"/>
      <c r="BP5" s="1296"/>
      <c r="BQ5" s="1296"/>
      <c r="BR5" s="1296"/>
      <c r="BS5" s="1296"/>
      <c r="BT5" s="1296"/>
      <c r="BU5" s="1296"/>
      <c r="BV5" s="1296"/>
      <c r="BW5" s="1296"/>
      <c r="BX5" s="1296"/>
      <c r="BY5" s="1296"/>
      <c r="BZ5" s="1296"/>
      <c r="CA5" s="1296"/>
      <c r="CB5" s="1296"/>
      <c r="CC5" s="1296"/>
      <c r="CD5" s="1296"/>
      <c r="CE5" s="1296"/>
      <c r="CF5" s="1296"/>
      <c r="CG5" s="1296"/>
      <c r="CH5" s="1296"/>
      <c r="CI5" s="1296"/>
      <c r="CJ5" s="1296"/>
      <c r="CK5" s="1296"/>
      <c r="CL5" s="1296"/>
      <c r="CM5" s="1296"/>
      <c r="CN5" s="1296"/>
      <c r="CO5" s="1296"/>
      <c r="CP5" s="1296"/>
      <c r="CQ5" s="1296"/>
      <c r="CR5" s="1296"/>
      <c r="CS5" s="1296"/>
      <c r="CT5" s="1296"/>
      <c r="CU5" s="1296"/>
      <c r="CV5" s="1296"/>
      <c r="CW5" s="1296"/>
      <c r="CX5" s="1296"/>
      <c r="CY5" s="1296"/>
      <c r="CZ5" s="1296"/>
      <c r="DA5" s="1296"/>
      <c r="DB5" s="1296"/>
      <c r="DC5" s="1296"/>
      <c r="DD5" s="1296"/>
      <c r="DE5" s="1296"/>
      <c r="DF5" s="1296"/>
      <c r="DG5" s="1296"/>
      <c r="DH5" s="1296"/>
      <c r="DI5" s="1296"/>
      <c r="DJ5" s="1296"/>
      <c r="DK5" s="1296"/>
      <c r="DL5" s="1296"/>
      <c r="DM5" s="1296"/>
      <c r="DN5" s="1296"/>
      <c r="DO5" s="1296"/>
      <c r="DP5" s="1296"/>
      <c r="DQ5" s="1296"/>
      <c r="DR5" s="1296"/>
      <c r="DS5" s="1296"/>
      <c r="DT5" s="1296"/>
      <c r="DU5" s="1296"/>
      <c r="DV5" s="1296"/>
      <c r="DW5" s="1296"/>
      <c r="DX5" s="1296"/>
      <c r="DY5" s="1296"/>
      <c r="DZ5" s="1296"/>
      <c r="EA5" s="1296"/>
      <c r="EB5" s="1296"/>
      <c r="EC5" s="1296"/>
      <c r="ED5" s="1296"/>
      <c r="EE5" s="1296"/>
      <c r="EF5" s="1296"/>
      <c r="EG5" s="1296"/>
      <c r="EH5" s="1296"/>
      <c r="EI5" s="1296"/>
      <c r="EJ5" s="1296"/>
      <c r="EK5" s="1296"/>
      <c r="EL5" s="1296"/>
      <c r="EM5" s="1296"/>
      <c r="EN5" s="1296"/>
      <c r="EO5" s="1296"/>
      <c r="EP5" s="1296"/>
      <c r="EQ5" s="1296"/>
      <c r="ER5" s="1296"/>
      <c r="ES5" s="1296"/>
      <c r="ET5" s="1296"/>
      <c r="EU5" s="1296"/>
      <c r="EV5" s="1296"/>
      <c r="EW5" s="1296"/>
      <c r="EX5" s="1296"/>
      <c r="EY5" s="1296"/>
      <c r="EZ5" s="1296"/>
      <c r="FA5" s="1296"/>
      <c r="FB5" s="1296"/>
      <c r="FC5" s="1296"/>
      <c r="FD5" s="1296"/>
      <c r="FE5" s="1296"/>
      <c r="FF5" s="1296"/>
      <c r="FG5" s="1296"/>
      <c r="FH5" s="1296"/>
      <c r="FI5" s="1296"/>
      <c r="FJ5" s="1296"/>
      <c r="FK5" s="1296"/>
      <c r="FL5" s="1296"/>
      <c r="FM5" s="1296"/>
      <c r="FN5" s="1296"/>
      <c r="FO5" s="1296"/>
      <c r="FP5" s="1296"/>
      <c r="FQ5" s="1296"/>
      <c r="FR5" s="1296"/>
      <c r="FS5" s="1296"/>
      <c r="FT5" s="1296"/>
      <c r="FU5" s="1296"/>
      <c r="FV5" s="1296"/>
      <c r="FW5" s="1296"/>
      <c r="FX5" s="1296"/>
      <c r="FY5" s="1296"/>
      <c r="FZ5" s="1296"/>
      <c r="GA5" s="1296"/>
      <c r="GB5" s="1296"/>
      <c r="GC5" s="1296"/>
      <c r="GD5" s="1296"/>
      <c r="GE5" s="1296"/>
      <c r="GF5" s="1296"/>
      <c r="GG5" s="1296"/>
      <c r="GH5" s="1296"/>
      <c r="GI5" s="1296"/>
      <c r="GJ5" s="1296"/>
      <c r="GK5" s="1296"/>
      <c r="GL5" s="1296"/>
      <c r="GM5" s="1296"/>
      <c r="GN5" s="1296"/>
      <c r="GO5" s="1296"/>
      <c r="GP5" s="1296"/>
      <c r="GQ5" s="1296"/>
      <c r="GR5" s="1296"/>
      <c r="GS5" s="1296"/>
      <c r="GT5" s="1296"/>
      <c r="GU5" s="1296"/>
      <c r="GV5" s="1296"/>
      <c r="GW5" s="1296"/>
      <c r="GX5" s="1296"/>
      <c r="GY5" s="1296"/>
      <c r="GZ5" s="1296"/>
      <c r="HA5" s="1296"/>
      <c r="HB5" s="1296"/>
      <c r="HC5" s="1296"/>
      <c r="HD5" s="1296"/>
      <c r="HE5" s="1296"/>
      <c r="HF5" s="1296"/>
      <c r="HG5" s="1296"/>
      <c r="HH5" s="1296"/>
      <c r="HI5" s="1296"/>
      <c r="HJ5" s="1296"/>
      <c r="HK5" s="1296"/>
      <c r="HL5" s="1296"/>
      <c r="HM5" s="1296"/>
      <c r="HN5" s="1296"/>
      <c r="HO5" s="1296"/>
      <c r="HP5" s="1296"/>
      <c r="HQ5" s="1296"/>
      <c r="HR5" s="1296"/>
      <c r="HS5" s="1296"/>
      <c r="HT5" s="1296"/>
      <c r="HU5" s="1296"/>
      <c r="HV5" s="1296"/>
      <c r="HW5" s="1296"/>
      <c r="HX5" s="1296"/>
      <c r="HY5" s="1296"/>
      <c r="HZ5" s="1296"/>
      <c r="IA5" s="1296"/>
      <c r="IB5" s="1296"/>
      <c r="IC5" s="1296"/>
      <c r="ID5" s="1296"/>
      <c r="IE5" s="1296"/>
      <c r="IF5" s="1296"/>
      <c r="IG5" s="1296"/>
      <c r="IH5" s="1296"/>
      <c r="II5" s="1296"/>
      <c r="IJ5" s="1296"/>
      <c r="IK5" s="1296"/>
      <c r="IL5" s="1296"/>
      <c r="IM5" s="1296"/>
      <c r="IN5" s="1296"/>
      <c r="IO5" s="1296"/>
      <c r="IP5" s="1296"/>
      <c r="IQ5" s="1296"/>
      <c r="IR5" s="1296"/>
      <c r="IS5" s="1296"/>
      <c r="IT5" s="1296"/>
      <c r="IU5" s="1296"/>
      <c r="IV5" s="1296"/>
      <c r="IW5" s="1296"/>
      <c r="IX5" s="1296"/>
    </row>
    <row r="6" spans="1:258" ht="11.25" thickBot="1" x14ac:dyDescent="0.2">
      <c r="A6" s="1456"/>
      <c r="B6" s="1459"/>
      <c r="C6" s="1297" t="s">
        <v>58</v>
      </c>
      <c r="D6" s="1298" t="s">
        <v>59</v>
      </c>
      <c r="E6" s="1297" t="s">
        <v>58</v>
      </c>
      <c r="F6" s="1298" t="s">
        <v>59</v>
      </c>
      <c r="G6" s="1297" t="s">
        <v>58</v>
      </c>
      <c r="H6" s="1298" t="s">
        <v>59</v>
      </c>
      <c r="I6" s="1297" t="s">
        <v>58</v>
      </c>
      <c r="J6" s="1298" t="s">
        <v>59</v>
      </c>
      <c r="K6" s="1297" t="s">
        <v>58</v>
      </c>
      <c r="L6" s="1298" t="s">
        <v>59</v>
      </c>
      <c r="M6" s="1297" t="s">
        <v>58</v>
      </c>
      <c r="N6" s="1298" t="s">
        <v>59</v>
      </c>
      <c r="O6" s="1298"/>
      <c r="P6" s="1298"/>
      <c r="Q6" s="1298"/>
      <c r="R6" s="1298"/>
      <c r="S6" s="1297" t="s">
        <v>58</v>
      </c>
      <c r="T6" s="1298" t="s">
        <v>59</v>
      </c>
      <c r="U6" s="1299"/>
      <c r="V6" s="1300"/>
      <c r="W6" s="1300"/>
      <c r="X6" s="1300"/>
      <c r="Y6" s="1300"/>
      <c r="Z6" s="1300"/>
      <c r="AA6" s="1301" t="s">
        <v>58</v>
      </c>
      <c r="AB6" s="1298" t="s">
        <v>59</v>
      </c>
      <c r="AC6" s="1297" t="s">
        <v>58</v>
      </c>
      <c r="AD6" s="1298" t="s">
        <v>59</v>
      </c>
      <c r="AE6" s="1297" t="s">
        <v>58</v>
      </c>
      <c r="AF6" s="1298" t="s">
        <v>59</v>
      </c>
      <c r="AG6" s="1297" t="s">
        <v>58</v>
      </c>
      <c r="AH6" s="1298" t="s">
        <v>59</v>
      </c>
      <c r="AI6" s="1297" t="s">
        <v>58</v>
      </c>
      <c r="AJ6" s="1298" t="s">
        <v>59</v>
      </c>
      <c r="AK6" s="1297" t="s">
        <v>58</v>
      </c>
      <c r="AL6" s="1298" t="s">
        <v>59</v>
      </c>
      <c r="AM6" s="1297" t="s">
        <v>58</v>
      </c>
      <c r="AN6" s="1298" t="s">
        <v>59</v>
      </c>
      <c r="AO6" s="1298"/>
      <c r="AP6" s="1298"/>
      <c r="AQ6" s="1297" t="s">
        <v>58</v>
      </c>
      <c r="AR6" s="1302" t="s">
        <v>59</v>
      </c>
      <c r="AT6" s="1301" t="s">
        <v>58</v>
      </c>
      <c r="AU6" s="1302" t="s">
        <v>59</v>
      </c>
      <c r="AV6" s="1300"/>
      <c r="AW6" s="1468" t="s">
        <v>1181</v>
      </c>
      <c r="AX6" s="1469"/>
      <c r="AY6" s="1300"/>
      <c r="AZ6" s="1300"/>
      <c r="BA6" s="1300"/>
      <c r="BB6" s="1300"/>
      <c r="BC6" s="1300"/>
      <c r="BD6" s="1300"/>
      <c r="BE6" s="1300"/>
      <c r="BF6" s="1300"/>
      <c r="BG6" s="1300"/>
      <c r="BH6" s="1300"/>
      <c r="BI6" s="1300"/>
      <c r="BJ6" s="1300"/>
      <c r="BK6" s="1300"/>
      <c r="BL6" s="1300"/>
      <c r="BM6" s="1300"/>
      <c r="BN6" s="1300"/>
      <c r="BO6" s="1300"/>
      <c r="BP6" s="1300"/>
      <c r="BQ6" s="1300"/>
      <c r="BR6" s="1300"/>
      <c r="BS6" s="1300"/>
      <c r="BT6" s="1300"/>
      <c r="BU6" s="1300"/>
      <c r="BV6" s="1300"/>
      <c r="BW6" s="1300"/>
      <c r="BX6" s="1300"/>
      <c r="BY6" s="1300"/>
      <c r="BZ6" s="1300"/>
      <c r="CA6" s="1300"/>
      <c r="CB6" s="1300"/>
      <c r="CC6" s="1300"/>
      <c r="CD6" s="1300"/>
      <c r="CE6" s="1300"/>
      <c r="CF6" s="1300"/>
      <c r="CG6" s="1300"/>
      <c r="CH6" s="1300"/>
      <c r="CI6" s="1300"/>
      <c r="CJ6" s="1300"/>
      <c r="CK6" s="1300"/>
      <c r="CL6" s="1300"/>
      <c r="CM6" s="1300"/>
      <c r="CN6" s="1300"/>
      <c r="CO6" s="1300"/>
      <c r="CP6" s="1300"/>
      <c r="CQ6" s="1300"/>
      <c r="CR6" s="1300"/>
      <c r="CS6" s="1300"/>
      <c r="CT6" s="1300"/>
      <c r="CU6" s="1300"/>
      <c r="CV6" s="1300"/>
      <c r="CW6" s="1300"/>
      <c r="CX6" s="1300"/>
      <c r="CY6" s="1300"/>
      <c r="CZ6" s="1300"/>
      <c r="DA6" s="1300"/>
      <c r="DB6" s="1300"/>
      <c r="DC6" s="1300"/>
      <c r="DD6" s="1300"/>
      <c r="DE6" s="1300"/>
      <c r="DF6" s="1300"/>
      <c r="DG6" s="1300"/>
      <c r="DH6" s="1300"/>
      <c r="DI6" s="1300"/>
      <c r="DJ6" s="1300"/>
      <c r="DK6" s="1300"/>
      <c r="DL6" s="1300"/>
      <c r="DM6" s="1300"/>
      <c r="DN6" s="1300"/>
      <c r="DO6" s="1300"/>
      <c r="DP6" s="1300"/>
      <c r="DQ6" s="1300"/>
      <c r="DR6" s="1300"/>
      <c r="DS6" s="1300"/>
      <c r="DT6" s="1300"/>
      <c r="DU6" s="1300"/>
      <c r="DV6" s="1300"/>
      <c r="DW6" s="1300"/>
      <c r="DX6" s="1300"/>
      <c r="DY6" s="1300"/>
      <c r="DZ6" s="1300"/>
      <c r="EA6" s="1300"/>
      <c r="EB6" s="1300"/>
      <c r="EC6" s="1300"/>
      <c r="ED6" s="1300"/>
      <c r="EE6" s="1300"/>
      <c r="EF6" s="1300"/>
      <c r="EG6" s="1300"/>
      <c r="EH6" s="1300"/>
      <c r="EI6" s="1300"/>
      <c r="EJ6" s="1300"/>
      <c r="EK6" s="1300"/>
      <c r="EL6" s="1300"/>
      <c r="EM6" s="1300"/>
      <c r="EN6" s="1300"/>
      <c r="EO6" s="1300"/>
      <c r="EP6" s="1300"/>
      <c r="EQ6" s="1300"/>
      <c r="ER6" s="1300"/>
      <c r="ES6" s="1300"/>
      <c r="ET6" s="1300"/>
      <c r="EU6" s="1300"/>
      <c r="EV6" s="1300"/>
      <c r="EW6" s="1300"/>
      <c r="EX6" s="1300"/>
      <c r="EY6" s="1300"/>
      <c r="EZ6" s="1300"/>
      <c r="FA6" s="1300"/>
      <c r="FB6" s="1300"/>
      <c r="FC6" s="1300"/>
      <c r="FD6" s="1300"/>
      <c r="FE6" s="1300"/>
      <c r="FF6" s="1300"/>
      <c r="FG6" s="1300"/>
      <c r="FH6" s="1300"/>
      <c r="FI6" s="1300"/>
      <c r="FJ6" s="1300"/>
      <c r="FK6" s="1300"/>
      <c r="FL6" s="1300"/>
      <c r="FM6" s="1300"/>
      <c r="FN6" s="1300"/>
      <c r="FO6" s="1300"/>
      <c r="FP6" s="1300"/>
      <c r="FQ6" s="1300"/>
      <c r="FR6" s="1300"/>
      <c r="FS6" s="1300"/>
      <c r="FT6" s="1300"/>
      <c r="FU6" s="1300"/>
      <c r="FV6" s="1300"/>
      <c r="FW6" s="1300"/>
      <c r="FX6" s="1300"/>
      <c r="FY6" s="1300"/>
      <c r="FZ6" s="1300"/>
      <c r="GA6" s="1300"/>
      <c r="GB6" s="1300"/>
      <c r="GC6" s="1300"/>
      <c r="GD6" s="1300"/>
      <c r="GE6" s="1300"/>
      <c r="GF6" s="1300"/>
      <c r="GG6" s="1300"/>
      <c r="GH6" s="1300"/>
      <c r="GI6" s="1300"/>
      <c r="GJ6" s="1300"/>
      <c r="GK6" s="1300"/>
      <c r="GL6" s="1300"/>
      <c r="GM6" s="1300"/>
      <c r="GN6" s="1300"/>
      <c r="GO6" s="1300"/>
      <c r="GP6" s="1300"/>
      <c r="GQ6" s="1300"/>
      <c r="GR6" s="1300"/>
      <c r="GS6" s="1300"/>
      <c r="GT6" s="1300"/>
      <c r="GU6" s="1300"/>
      <c r="GV6" s="1300"/>
      <c r="GW6" s="1300"/>
      <c r="GX6" s="1300"/>
      <c r="GY6" s="1300"/>
      <c r="GZ6" s="1300"/>
      <c r="HA6" s="1300"/>
      <c r="HB6" s="1300"/>
      <c r="HC6" s="1300"/>
      <c r="HD6" s="1300"/>
      <c r="HE6" s="1300"/>
      <c r="HF6" s="1300"/>
      <c r="HG6" s="1300"/>
      <c r="HH6" s="1300"/>
      <c r="HI6" s="1300"/>
      <c r="HJ6" s="1300"/>
      <c r="HK6" s="1300"/>
      <c r="HL6" s="1300"/>
      <c r="HM6" s="1300"/>
      <c r="HN6" s="1300"/>
      <c r="HO6" s="1300"/>
      <c r="HP6" s="1300"/>
      <c r="HQ6" s="1300"/>
      <c r="HR6" s="1300"/>
      <c r="HS6" s="1300"/>
      <c r="HT6" s="1300"/>
      <c r="HU6" s="1300"/>
      <c r="HV6" s="1300"/>
      <c r="HW6" s="1300"/>
      <c r="HX6" s="1300"/>
      <c r="HY6" s="1300"/>
      <c r="HZ6" s="1300"/>
      <c r="IA6" s="1300"/>
      <c r="IB6" s="1300"/>
      <c r="IC6" s="1300"/>
      <c r="ID6" s="1300"/>
      <c r="IE6" s="1300"/>
      <c r="IF6" s="1300"/>
      <c r="IG6" s="1300"/>
      <c r="IH6" s="1300"/>
      <c r="II6" s="1300"/>
      <c r="IJ6" s="1300"/>
      <c r="IK6" s="1300"/>
      <c r="IL6" s="1300"/>
      <c r="IM6" s="1300"/>
      <c r="IN6" s="1300"/>
      <c r="IO6" s="1300"/>
      <c r="IP6" s="1300"/>
      <c r="IQ6" s="1300"/>
      <c r="IR6" s="1300"/>
      <c r="IS6" s="1300"/>
      <c r="IT6" s="1300"/>
      <c r="IU6" s="1300"/>
      <c r="IV6" s="1300"/>
      <c r="IW6" s="1300"/>
      <c r="IX6" s="1300"/>
    </row>
    <row r="7" spans="1:258" ht="12" thickTop="1" x14ac:dyDescent="0.2">
      <c r="A7" s="16" t="str">
        <f>'t1'!A18</f>
        <v>FUNZIONARI</v>
      </c>
      <c r="B7" s="16" t="str">
        <f>'t1'!B18</f>
        <v>0FZ000</v>
      </c>
      <c r="C7" s="297">
        <f t="shared" ref="C7:L7" si="0">ROUND(AA7,0)</f>
        <v>0</v>
      </c>
      <c r="D7" s="298">
        <f t="shared" si="0"/>
        <v>0</v>
      </c>
      <c r="E7" s="297">
        <f t="shared" si="0"/>
        <v>0</v>
      </c>
      <c r="F7" s="298">
        <f t="shared" si="0"/>
        <v>0</v>
      </c>
      <c r="G7" s="297">
        <f t="shared" si="0"/>
        <v>0</v>
      </c>
      <c r="H7" s="298">
        <f t="shared" si="0"/>
        <v>0</v>
      </c>
      <c r="I7" s="297">
        <f t="shared" si="0"/>
        <v>0</v>
      </c>
      <c r="J7" s="298">
        <f t="shared" si="0"/>
        <v>0</v>
      </c>
      <c r="K7" s="297">
        <f t="shared" si="0"/>
        <v>0</v>
      </c>
      <c r="L7" s="298">
        <f t="shared" si="0"/>
        <v>0</v>
      </c>
      <c r="M7" s="297">
        <f t="shared" ref="M7" si="1">ROUND(AK7,0)</f>
        <v>0</v>
      </c>
      <c r="N7" s="298">
        <f t="shared" ref="N7" si="2">ROUND(AL7,0)</f>
        <v>0</v>
      </c>
      <c r="O7" s="297"/>
      <c r="P7" s="298"/>
      <c r="Q7" s="297"/>
      <c r="R7" s="298"/>
      <c r="S7" s="1303">
        <f>C7+E7+G7+I7+K7+M7+O7+Q7</f>
        <v>0</v>
      </c>
      <c r="T7" s="1304">
        <f>D7+F7+H7+J7+L7+N7+P7+R7</f>
        <v>0</v>
      </c>
      <c r="AA7" s="1305"/>
      <c r="AB7" s="298"/>
      <c r="AC7" s="297"/>
      <c r="AD7" s="298"/>
      <c r="AE7" s="297"/>
      <c r="AF7" s="298"/>
      <c r="AG7" s="297"/>
      <c r="AH7" s="298"/>
      <c r="AI7" s="297"/>
      <c r="AJ7" s="298"/>
      <c r="AK7" s="297"/>
      <c r="AL7" s="298"/>
      <c r="AM7" s="297"/>
      <c r="AN7" s="1348"/>
      <c r="AO7" s="1307"/>
      <c r="AP7" s="1307"/>
      <c r="AQ7" s="1303">
        <f>AA7+AC7+AE7+AG7+AI7+AK7+AM7+AO7</f>
        <v>0</v>
      </c>
      <c r="AR7" s="1304">
        <f>AB7+AD7+AF7+AH7+AJ7+AL7+AN7+AP7</f>
        <v>0</v>
      </c>
      <c r="AS7" s="1306"/>
      <c r="AT7" s="1355" t="str">
        <f>IF(AQ7='t1'!AI18,"OK","Errore")</f>
        <v>OK</v>
      </c>
      <c r="AU7" s="1304" t="str">
        <f>IF(AR7='t1'!AJ18,"OK","Errore")</f>
        <v>OK</v>
      </c>
      <c r="AW7" s="1383" t="str">
        <f>IF(SUM(AC7:AN7)&gt;0,(IF('t12'!G18&gt;0,"OK","Manca Valore in T12")),IF(AND(SUM(AC7:AN7)&gt;=0,('t12'!G18)&gt;=0),IF('t12'!G18&gt;0,"Mancano differenziali","OK")))</f>
        <v>OK</v>
      </c>
      <c r="AX7" s="1383" t="str">
        <f>IF(SUM(AC7:AN7)&gt;='t4'!D7,"OK","Controllare voci in T4")</f>
        <v>OK</v>
      </c>
      <c r="BS7" s="1300"/>
      <c r="BT7" s="1300"/>
      <c r="BU7" s="1300"/>
      <c r="BV7" s="1300"/>
      <c r="BW7" s="1300"/>
      <c r="BX7" s="1300"/>
      <c r="BY7" s="1300"/>
      <c r="BZ7" s="1300"/>
      <c r="CA7" s="1300"/>
      <c r="CB7" s="1300"/>
      <c r="CC7" s="1300"/>
      <c r="CD7" s="1300"/>
      <c r="CE7" s="1300"/>
      <c r="CF7" s="1300"/>
      <c r="CG7" s="1300"/>
      <c r="CH7" s="1300"/>
      <c r="CI7" s="1300"/>
      <c r="CJ7" s="1300"/>
      <c r="CK7" s="1300"/>
      <c r="CL7" s="1300"/>
      <c r="CM7" s="1300"/>
      <c r="CN7" s="1300"/>
      <c r="CO7" s="1300"/>
      <c r="CP7" s="1300"/>
      <c r="CQ7" s="1300"/>
      <c r="CR7" s="1300"/>
      <c r="CS7" s="1300"/>
      <c r="CT7" s="1300"/>
      <c r="CU7" s="1300"/>
      <c r="CV7" s="1300"/>
      <c r="CW7" s="1300"/>
      <c r="CX7" s="1300"/>
      <c r="CY7" s="1300"/>
      <c r="CZ7" s="1300"/>
      <c r="DA7" s="1300"/>
      <c r="DB7" s="1300"/>
      <c r="DC7" s="1300"/>
      <c r="DD7" s="1300"/>
      <c r="DE7" s="1300"/>
      <c r="DF7" s="1300"/>
      <c r="DG7" s="1300"/>
      <c r="DH7" s="1300"/>
      <c r="DI7" s="1300"/>
      <c r="DJ7" s="1300"/>
      <c r="DK7" s="1300"/>
      <c r="DL7" s="1300"/>
      <c r="DM7" s="1300"/>
      <c r="DN7" s="1300"/>
      <c r="DO7" s="1300"/>
      <c r="DP7" s="1300"/>
      <c r="DQ7" s="1300"/>
      <c r="DR7" s="1300"/>
      <c r="DS7" s="1300"/>
      <c r="DT7" s="1300"/>
      <c r="DU7" s="1300"/>
      <c r="DV7" s="1300"/>
      <c r="DW7" s="1300"/>
      <c r="DX7" s="1300"/>
      <c r="DY7" s="1300"/>
      <c r="DZ7" s="1300"/>
      <c r="EA7" s="1300"/>
      <c r="EB7" s="1300"/>
      <c r="EC7" s="1300"/>
      <c r="ED7" s="1300"/>
      <c r="EE7" s="1300"/>
      <c r="EF7" s="1300"/>
      <c r="EG7" s="1300"/>
      <c r="EH7" s="1300"/>
      <c r="EI7" s="1300"/>
      <c r="EJ7" s="1300"/>
      <c r="EK7" s="1300"/>
      <c r="EL7" s="1300"/>
      <c r="EM7" s="1300"/>
      <c r="EN7" s="1300"/>
      <c r="EO7" s="1300"/>
      <c r="EP7" s="1300"/>
      <c r="EQ7" s="1300"/>
      <c r="ER7" s="1300"/>
      <c r="ES7" s="1300"/>
      <c r="ET7" s="1300"/>
      <c r="EU7" s="1300"/>
      <c r="EV7" s="1300"/>
      <c r="EW7" s="1300"/>
      <c r="EX7" s="1300"/>
      <c r="EY7" s="1300"/>
      <c r="EZ7" s="1300"/>
      <c r="FA7" s="1300"/>
      <c r="FB7" s="1300"/>
      <c r="FC7" s="1300"/>
      <c r="FD7" s="1300"/>
      <c r="FE7" s="1300"/>
      <c r="FF7" s="1300"/>
      <c r="FG7" s="1300"/>
      <c r="FH7" s="1300"/>
      <c r="FI7" s="1300"/>
      <c r="FJ7" s="1300"/>
      <c r="FK7" s="1300"/>
      <c r="FL7" s="1300"/>
      <c r="FM7" s="1300"/>
      <c r="FN7" s="1300"/>
      <c r="FO7" s="1300"/>
      <c r="FP7" s="1300"/>
      <c r="FQ7" s="1300"/>
      <c r="FR7" s="1300"/>
      <c r="FS7" s="1300"/>
      <c r="FT7" s="1300"/>
      <c r="FU7" s="1300"/>
      <c r="FV7" s="1300"/>
      <c r="FW7" s="1300"/>
      <c r="FX7" s="1300"/>
      <c r="FY7" s="1300"/>
      <c r="FZ7" s="1300"/>
      <c r="GA7" s="1300"/>
      <c r="GB7" s="1300"/>
      <c r="GC7" s="1300"/>
      <c r="GD7" s="1300"/>
      <c r="GE7" s="1300"/>
      <c r="GF7" s="1300"/>
      <c r="GG7" s="1300"/>
      <c r="GH7" s="1300"/>
      <c r="GI7" s="1300"/>
      <c r="GJ7" s="1300"/>
      <c r="GK7" s="1300"/>
      <c r="GL7" s="1300"/>
      <c r="GM7" s="1300"/>
      <c r="GN7" s="1300"/>
      <c r="GO7" s="1300"/>
      <c r="GP7" s="1300"/>
      <c r="GQ7" s="1300"/>
      <c r="GR7" s="1300"/>
      <c r="GS7" s="1300"/>
      <c r="GT7" s="1300"/>
      <c r="GU7" s="1300"/>
      <c r="GV7" s="1300"/>
      <c r="GW7" s="1300"/>
      <c r="GX7" s="1300"/>
      <c r="GY7" s="1300"/>
      <c r="GZ7" s="1300"/>
      <c r="HA7" s="1300"/>
      <c r="HB7" s="1300"/>
      <c r="HC7" s="1300"/>
      <c r="HD7" s="1300"/>
      <c r="HE7" s="1300"/>
      <c r="HF7" s="1300"/>
      <c r="HG7" s="1300"/>
      <c r="HH7" s="1300"/>
      <c r="HI7" s="1300"/>
      <c r="HJ7" s="1300"/>
      <c r="HK7" s="1300"/>
      <c r="HL7" s="1300"/>
      <c r="HM7" s="1300"/>
      <c r="HN7" s="1300"/>
      <c r="HO7" s="1300"/>
      <c r="HP7" s="1300"/>
      <c r="HQ7" s="1300"/>
      <c r="HR7" s="1300"/>
      <c r="HS7" s="1300"/>
      <c r="HT7" s="1300"/>
      <c r="HU7" s="1300"/>
      <c r="HV7" s="1300"/>
      <c r="HW7" s="1300"/>
      <c r="HX7" s="1300"/>
      <c r="HY7" s="1300"/>
      <c r="HZ7" s="1300"/>
      <c r="IA7" s="1300"/>
      <c r="IB7" s="1300"/>
      <c r="IC7" s="1300"/>
      <c r="ID7" s="1300"/>
      <c r="IE7" s="1300"/>
      <c r="IF7" s="1300"/>
      <c r="IG7" s="1300"/>
      <c r="IH7" s="1300"/>
      <c r="II7" s="1300"/>
      <c r="IJ7" s="1300"/>
      <c r="IK7" s="1300"/>
      <c r="IL7" s="1300"/>
      <c r="IM7" s="1300"/>
      <c r="IN7" s="1300"/>
      <c r="IO7" s="1300"/>
      <c r="IP7" s="1300"/>
      <c r="IQ7" s="1300"/>
      <c r="IR7" s="1300"/>
      <c r="IS7" s="1300"/>
      <c r="IT7" s="1300"/>
      <c r="IU7" s="1300"/>
      <c r="IV7" s="1300"/>
      <c r="IW7" s="1300"/>
      <c r="IX7" s="1300"/>
    </row>
    <row r="8" spans="1:258" ht="11.25" x14ac:dyDescent="0.2">
      <c r="A8" s="16" t="str">
        <f>'t1'!A19</f>
        <v>ASSISTENTI</v>
      </c>
      <c r="B8" s="16" t="str">
        <f>'t1'!B19</f>
        <v>0AS000</v>
      </c>
      <c r="C8" s="297">
        <f t="shared" ref="C8:L9" si="3">ROUND(AA8,0)</f>
        <v>0</v>
      </c>
      <c r="D8" s="298">
        <f t="shared" si="3"/>
        <v>1</v>
      </c>
      <c r="E8" s="297">
        <f t="shared" si="3"/>
        <v>0</v>
      </c>
      <c r="F8" s="298">
        <f t="shared" si="3"/>
        <v>0</v>
      </c>
      <c r="G8" s="297">
        <f t="shared" si="3"/>
        <v>0</v>
      </c>
      <c r="H8" s="298">
        <f t="shared" si="3"/>
        <v>0</v>
      </c>
      <c r="I8" s="297">
        <f t="shared" si="3"/>
        <v>0</v>
      </c>
      <c r="J8" s="298">
        <f t="shared" si="3"/>
        <v>0</v>
      </c>
      <c r="K8" s="297">
        <f t="shared" si="3"/>
        <v>0</v>
      </c>
      <c r="L8" s="298">
        <f t="shared" si="3"/>
        <v>0</v>
      </c>
      <c r="M8" s="297">
        <f t="shared" ref="M8" si="4">ROUND(AK8,0)</f>
        <v>0</v>
      </c>
      <c r="N8" s="298">
        <f t="shared" ref="N8" si="5">ROUND(AL8,0)</f>
        <v>0</v>
      </c>
      <c r="O8" s="297"/>
      <c r="P8" s="298"/>
      <c r="Q8" s="297"/>
      <c r="R8" s="298"/>
      <c r="S8" s="1303">
        <f t="shared" ref="S8:S9" si="6">C8+E8+G8+I8+K8+M8+O8+Q8</f>
        <v>0</v>
      </c>
      <c r="T8" s="1304">
        <f t="shared" ref="T8:T9" si="7">D8+F8+H8+J8+L8+N8+P8+R8</f>
        <v>1</v>
      </c>
      <c r="AA8" s="1305"/>
      <c r="AB8" s="298">
        <v>1</v>
      </c>
      <c r="AC8" s="297"/>
      <c r="AD8" s="298"/>
      <c r="AE8" s="297"/>
      <c r="AF8" s="298"/>
      <c r="AG8" s="297"/>
      <c r="AH8" s="298"/>
      <c r="AI8" s="297"/>
      <c r="AJ8" s="298"/>
      <c r="AK8" s="297"/>
      <c r="AL8" s="298"/>
      <c r="AM8" s="1307"/>
      <c r="AN8" s="1349"/>
      <c r="AO8" s="1307"/>
      <c r="AP8" s="1307"/>
      <c r="AQ8" s="1303">
        <f t="shared" ref="AQ8:AQ9" si="8">AA8+AC8+AE8+AG8+AI8+AK8+AM8+AO8</f>
        <v>0</v>
      </c>
      <c r="AR8" s="1304">
        <f t="shared" ref="AR8:AR9" si="9">AB8+AD8+AF8+AH8+AJ8+AL8+AN8+AP8</f>
        <v>1</v>
      </c>
      <c r="AS8" s="1306"/>
      <c r="AT8" s="1308" t="str">
        <f>IF(AQ8='t1'!AI19,"OK","Errore")</f>
        <v>OK</v>
      </c>
      <c r="AU8" s="1304" t="str">
        <f>IF(AR8='t1'!AJ19,"OK","Errore")</f>
        <v>OK</v>
      </c>
      <c r="AW8" s="1383" t="str">
        <f>IF(SUM(AC8:AN8)&gt;0,(IF('t12'!G19&gt;0,"OK","Manca Valore in T12")),IF(AND(SUM(AC8:AN8)&gt;=0,('t12'!G19)&gt;=0),IF('t12'!G19&gt;0,"Mancano differenziali","OK")))</f>
        <v>OK</v>
      </c>
      <c r="AX8" s="1383" t="str">
        <f>IF(SUM(AC8:AN8)&gt;='t4'!D8,"OK","Controllare voci in T4")</f>
        <v>OK</v>
      </c>
    </row>
    <row r="9" spans="1:258" ht="12" thickBot="1" x14ac:dyDescent="0.25">
      <c r="A9" s="16" t="str">
        <f>'t1'!A20</f>
        <v>OPERATORI</v>
      </c>
      <c r="B9" s="16" t="str">
        <f>'t1'!B20</f>
        <v>0OP000</v>
      </c>
      <c r="C9" s="297">
        <f t="shared" si="3"/>
        <v>0</v>
      </c>
      <c r="D9" s="298">
        <f t="shared" si="3"/>
        <v>0</v>
      </c>
      <c r="E9" s="297">
        <f t="shared" si="3"/>
        <v>0</v>
      </c>
      <c r="F9" s="298">
        <f t="shared" si="3"/>
        <v>0</v>
      </c>
      <c r="G9" s="297">
        <f t="shared" si="3"/>
        <v>0</v>
      </c>
      <c r="H9" s="298">
        <f t="shared" si="3"/>
        <v>0</v>
      </c>
      <c r="I9" s="297">
        <f t="shared" si="3"/>
        <v>0</v>
      </c>
      <c r="J9" s="298">
        <f t="shared" si="3"/>
        <v>0</v>
      </c>
      <c r="K9" s="297">
        <f t="shared" si="3"/>
        <v>0</v>
      </c>
      <c r="L9" s="298">
        <f t="shared" si="3"/>
        <v>0</v>
      </c>
      <c r="M9" s="297">
        <f t="shared" ref="M9" si="10">ROUND(AK9,0)</f>
        <v>0</v>
      </c>
      <c r="N9" s="298">
        <f t="shared" ref="N9" si="11">ROUND(AL9,0)</f>
        <v>0</v>
      </c>
      <c r="O9" s="297"/>
      <c r="P9" s="298"/>
      <c r="Q9" s="297"/>
      <c r="R9" s="298"/>
      <c r="S9" s="1303">
        <f t="shared" si="6"/>
        <v>0</v>
      </c>
      <c r="T9" s="1304">
        <f t="shared" si="7"/>
        <v>0</v>
      </c>
      <c r="AA9" s="1305"/>
      <c r="AB9" s="298"/>
      <c r="AC9" s="297"/>
      <c r="AD9" s="298"/>
      <c r="AE9" s="297"/>
      <c r="AF9" s="298"/>
      <c r="AG9" s="1379"/>
      <c r="AH9" s="1380"/>
      <c r="AI9" s="1379"/>
      <c r="AJ9" s="1380"/>
      <c r="AK9" s="1379"/>
      <c r="AL9" s="1380"/>
      <c r="AM9" s="1307"/>
      <c r="AN9" s="1350"/>
      <c r="AO9" s="1307"/>
      <c r="AP9" s="1307"/>
      <c r="AQ9" s="1303">
        <f t="shared" si="8"/>
        <v>0</v>
      </c>
      <c r="AR9" s="1304">
        <f t="shared" si="9"/>
        <v>0</v>
      </c>
      <c r="AS9" s="1306"/>
      <c r="AT9" s="1353" t="str">
        <f>IF(AQ9='t1'!AI20,"OK","Errore")</f>
        <v>OK</v>
      </c>
      <c r="AU9" s="1351" t="str">
        <f>IF(AR9='t1'!AJ20,"OK","Errore")</f>
        <v>OK</v>
      </c>
      <c r="AW9" s="1383" t="str">
        <f>IF(SUM(AC9:AN9)&gt;0,(IF('t12'!G20&gt;0,"OK","Manca Valore in T12")),IF(AND(SUM(AC9:AN9)&gt;=0,('t12'!G20)&gt;=0),IF('t12'!G20&gt;0,"Mancano differenziali","OK")))</f>
        <v>OK</v>
      </c>
      <c r="AX9" s="1383" t="str">
        <f>IF(SUM(AC9:AN9)&gt;='t4'!D9,"OK","Controllare voci in T4")</f>
        <v>OK</v>
      </c>
    </row>
    <row r="10" spans="1:258" ht="14.25" thickTop="1" thickBot="1" x14ac:dyDescent="0.25">
      <c r="A10" s="1309" t="s">
        <v>60</v>
      </c>
      <c r="B10" s="1310"/>
      <c r="C10" s="1311">
        <f>SUM(C7:C9)</f>
        <v>0</v>
      </c>
      <c r="D10" s="1312">
        <f>SUM(D7:D9)</f>
        <v>1</v>
      </c>
      <c r="E10" s="1311">
        <f t="shared" ref="E10:R10" si="12">SUM(E7:E9)</f>
        <v>0</v>
      </c>
      <c r="F10" s="1312">
        <f t="shared" si="12"/>
        <v>0</v>
      </c>
      <c r="G10" s="1311">
        <f t="shared" si="12"/>
        <v>0</v>
      </c>
      <c r="H10" s="1312">
        <f t="shared" si="12"/>
        <v>0</v>
      </c>
      <c r="I10" s="1311">
        <f t="shared" si="12"/>
        <v>0</v>
      </c>
      <c r="J10" s="1312">
        <f t="shared" si="12"/>
        <v>0</v>
      </c>
      <c r="K10" s="1311">
        <f t="shared" si="12"/>
        <v>0</v>
      </c>
      <c r="L10" s="1312">
        <f t="shared" si="12"/>
        <v>0</v>
      </c>
      <c r="M10" s="1311">
        <f t="shared" si="12"/>
        <v>0</v>
      </c>
      <c r="N10" s="1312">
        <f t="shared" si="12"/>
        <v>0</v>
      </c>
      <c r="O10" s="1311">
        <f t="shared" si="12"/>
        <v>0</v>
      </c>
      <c r="P10" s="1312">
        <f t="shared" si="12"/>
        <v>0</v>
      </c>
      <c r="Q10" s="1311">
        <f>SUM(Q7:Q9)</f>
        <v>0</v>
      </c>
      <c r="R10" s="1312">
        <f t="shared" si="12"/>
        <v>0</v>
      </c>
      <c r="S10" s="1311">
        <f>SUM(S7:S9)</f>
        <v>0</v>
      </c>
      <c r="T10" s="1312">
        <f>SUM(T7:T9)</f>
        <v>1</v>
      </c>
      <c r="U10" s="1315"/>
      <c r="V10" s="1316"/>
      <c r="W10" s="1316"/>
      <c r="X10" s="1316"/>
      <c r="Y10" s="1316"/>
      <c r="Z10" s="1316"/>
      <c r="AA10" s="1317">
        <f>SUM(AA7:AA9)</f>
        <v>0</v>
      </c>
      <c r="AB10" s="1312">
        <f>SUM(AB7:AB9)</f>
        <v>1</v>
      </c>
      <c r="AC10" s="1317">
        <f t="shared" ref="AC10:AL10" si="13">SUM(AC7:AC9)</f>
        <v>0</v>
      </c>
      <c r="AD10" s="1312">
        <f t="shared" si="13"/>
        <v>0</v>
      </c>
      <c r="AE10" s="1317">
        <f t="shared" si="13"/>
        <v>0</v>
      </c>
      <c r="AF10" s="1312">
        <f t="shared" si="13"/>
        <v>0</v>
      </c>
      <c r="AG10" s="1317">
        <f t="shared" si="13"/>
        <v>0</v>
      </c>
      <c r="AH10" s="1312">
        <f t="shared" si="13"/>
        <v>0</v>
      </c>
      <c r="AI10" s="1317">
        <f t="shared" si="13"/>
        <v>0</v>
      </c>
      <c r="AJ10" s="1312">
        <f t="shared" si="13"/>
        <v>0</v>
      </c>
      <c r="AK10" s="1317">
        <f t="shared" si="13"/>
        <v>0</v>
      </c>
      <c r="AL10" s="1312">
        <f t="shared" si="13"/>
        <v>0</v>
      </c>
      <c r="AM10" s="1317">
        <f>SUM(AM7:AM9)</f>
        <v>0</v>
      </c>
      <c r="AN10" s="1313">
        <f>SUM(AN7:AN9)</f>
        <v>0</v>
      </c>
      <c r="AO10" s="1314">
        <f t="shared" ref="AO10:AP10" si="14">SUM(AO9:AO9)</f>
        <v>0</v>
      </c>
      <c r="AP10" s="1312">
        <f t="shared" si="14"/>
        <v>0</v>
      </c>
      <c r="AQ10" s="1311">
        <f>SUM(AQ7:AQ9)</f>
        <v>0</v>
      </c>
      <c r="AR10" s="1318">
        <f>SUM(AR7:AR9)</f>
        <v>1</v>
      </c>
      <c r="AS10" s="1306"/>
      <c r="AT10" s="1354">
        <f>SUM('t1'!AI18:AI20)</f>
        <v>0</v>
      </c>
      <c r="AU10" s="1352">
        <f>SUM('t1'!AJ18:AJ20)</f>
        <v>1</v>
      </c>
      <c r="AV10" s="1316"/>
      <c r="AW10" s="1384" t="str">
        <f>IF(COUNTIF(AW7:AW9,"OK")=3,"OK","Errore")</f>
        <v>OK</v>
      </c>
      <c r="AX10" s="1384" t="str">
        <f>IF(COUNTIF(AX7:AX9,"OK")=3,"OK","Errore")</f>
        <v>OK</v>
      </c>
      <c r="AY10" s="1316"/>
      <c r="AZ10" s="1316"/>
      <c r="BA10" s="1316"/>
      <c r="BB10" s="1316"/>
      <c r="BC10" s="1316"/>
      <c r="BD10" s="1316"/>
      <c r="BE10" s="1316"/>
      <c r="BF10" s="1316"/>
      <c r="BG10" s="1316"/>
      <c r="BH10" s="1316"/>
      <c r="BI10" s="1316"/>
      <c r="BJ10" s="1316"/>
      <c r="BK10" s="1316"/>
      <c r="BL10" s="1316"/>
      <c r="BM10" s="1316"/>
      <c r="BN10" s="1316"/>
      <c r="BO10" s="1316"/>
      <c r="BP10" s="1316"/>
      <c r="BQ10" s="1316"/>
      <c r="BR10" s="1316"/>
      <c r="BS10" s="1316"/>
      <c r="BT10" s="1316"/>
      <c r="BU10" s="1316"/>
      <c r="BV10" s="1316"/>
      <c r="BW10" s="1316"/>
      <c r="BX10" s="1316"/>
      <c r="BY10" s="1316"/>
      <c r="BZ10" s="1316"/>
      <c r="CA10" s="1316"/>
      <c r="CB10" s="1316"/>
      <c r="CC10" s="1316"/>
      <c r="CD10" s="1316"/>
      <c r="CE10" s="1316"/>
      <c r="CF10" s="1316"/>
      <c r="CG10" s="1316"/>
      <c r="CH10" s="1316"/>
      <c r="CI10" s="1316"/>
      <c r="CJ10" s="1316"/>
      <c r="CK10" s="1316"/>
      <c r="CL10" s="1316"/>
      <c r="CM10" s="1316"/>
      <c r="CN10" s="1316"/>
      <c r="CO10" s="1316"/>
      <c r="CP10" s="1316"/>
      <c r="CQ10" s="1316"/>
      <c r="CR10" s="1316"/>
      <c r="CS10" s="1316"/>
      <c r="CT10" s="1316"/>
      <c r="CU10" s="1316"/>
      <c r="CV10" s="1316"/>
      <c r="CW10" s="1316"/>
      <c r="CX10" s="1316"/>
      <c r="CY10" s="1316"/>
      <c r="CZ10" s="1316"/>
      <c r="DA10" s="1316"/>
      <c r="DB10" s="1316"/>
      <c r="DC10" s="1316"/>
      <c r="DD10" s="1316"/>
      <c r="DE10" s="1316"/>
      <c r="DF10" s="1316"/>
      <c r="DG10" s="1316"/>
      <c r="DH10" s="1316"/>
      <c r="DI10" s="1316"/>
      <c r="DJ10" s="1316"/>
      <c r="DK10" s="1316"/>
      <c r="DL10" s="1316"/>
      <c r="DM10" s="1316"/>
      <c r="DN10" s="1316"/>
      <c r="DO10" s="1316"/>
      <c r="DP10" s="1316"/>
      <c r="DQ10" s="1316"/>
      <c r="DR10" s="1316"/>
      <c r="DS10" s="1316"/>
      <c r="DT10" s="1316"/>
      <c r="DU10" s="1316"/>
      <c r="DV10" s="1316"/>
      <c r="DW10" s="1316"/>
      <c r="DX10" s="1316"/>
      <c r="DY10" s="1316"/>
      <c r="DZ10" s="1316"/>
      <c r="EA10" s="1316"/>
      <c r="EB10" s="1316"/>
      <c r="EC10" s="1316"/>
      <c r="ED10" s="1316"/>
      <c r="EE10" s="1316"/>
      <c r="EF10" s="1316"/>
      <c r="EG10" s="1316"/>
      <c r="EH10" s="1316"/>
      <c r="EI10" s="1316"/>
      <c r="EJ10" s="1316"/>
      <c r="EK10" s="1316"/>
      <c r="EL10" s="1316"/>
      <c r="EM10" s="1316"/>
      <c r="EN10" s="1316"/>
      <c r="EO10" s="1316"/>
      <c r="EP10" s="1316"/>
      <c r="EQ10" s="1316"/>
      <c r="ER10" s="1316"/>
      <c r="ES10" s="1316"/>
      <c r="ET10" s="1316"/>
      <c r="EU10" s="1316"/>
      <c r="EV10" s="1316"/>
      <c r="EW10" s="1316"/>
      <c r="EX10" s="1316"/>
      <c r="EY10" s="1316"/>
      <c r="EZ10" s="1316"/>
      <c r="FA10" s="1316"/>
      <c r="FB10" s="1316"/>
      <c r="FC10" s="1316"/>
      <c r="FD10" s="1316"/>
      <c r="FE10" s="1316"/>
      <c r="FF10" s="1316"/>
      <c r="FG10" s="1316"/>
      <c r="FH10" s="1316"/>
      <c r="FI10" s="1316"/>
      <c r="FJ10" s="1316"/>
      <c r="FK10" s="1316"/>
      <c r="FL10" s="1316"/>
      <c r="FM10" s="1316"/>
      <c r="FN10" s="1316"/>
      <c r="FO10" s="1316"/>
      <c r="FP10" s="1316"/>
      <c r="FQ10" s="1316"/>
      <c r="FR10" s="1316"/>
      <c r="FS10" s="1316"/>
      <c r="FT10" s="1316"/>
      <c r="FU10" s="1316"/>
      <c r="FV10" s="1316"/>
      <c r="FW10" s="1316"/>
      <c r="FX10" s="1316"/>
      <c r="FY10" s="1316"/>
      <c r="FZ10" s="1316"/>
      <c r="GA10" s="1316"/>
      <c r="GB10" s="1316"/>
      <c r="GC10" s="1316"/>
      <c r="GD10" s="1316"/>
      <c r="GE10" s="1316"/>
      <c r="GF10" s="1316"/>
      <c r="GG10" s="1316"/>
      <c r="GH10" s="1316"/>
      <c r="GI10" s="1316"/>
      <c r="GJ10" s="1316"/>
      <c r="GK10" s="1316"/>
      <c r="GL10" s="1316"/>
      <c r="GM10" s="1316"/>
      <c r="GN10" s="1316"/>
      <c r="GO10" s="1316"/>
      <c r="GP10" s="1316"/>
      <c r="GQ10" s="1316"/>
      <c r="GR10" s="1316"/>
      <c r="GS10" s="1316"/>
      <c r="GT10" s="1316"/>
      <c r="GU10" s="1316"/>
      <c r="GV10" s="1316"/>
      <c r="GW10" s="1316"/>
      <c r="GX10" s="1316"/>
      <c r="GY10" s="1316"/>
      <c r="GZ10" s="1316"/>
      <c r="HA10" s="1316"/>
      <c r="HB10" s="1316"/>
      <c r="HC10" s="1316"/>
      <c r="HD10" s="1316"/>
      <c r="HE10" s="1316"/>
      <c r="HF10" s="1316"/>
      <c r="HG10" s="1316"/>
      <c r="HH10" s="1316"/>
      <c r="HI10" s="1316"/>
      <c r="HJ10" s="1316"/>
      <c r="HK10" s="1316"/>
      <c r="HL10" s="1316"/>
      <c r="HM10" s="1316"/>
      <c r="HN10" s="1316"/>
      <c r="HO10" s="1316"/>
      <c r="HP10" s="1316"/>
      <c r="HQ10" s="1316"/>
      <c r="HR10" s="1316"/>
      <c r="HS10" s="1316"/>
      <c r="HT10" s="1316"/>
      <c r="HU10" s="1316"/>
      <c r="HV10" s="1316"/>
      <c r="HW10" s="1316"/>
      <c r="HX10" s="1316"/>
      <c r="HY10" s="1316"/>
      <c r="HZ10" s="1316"/>
      <c r="IA10" s="1316"/>
      <c r="IB10" s="1316"/>
      <c r="IC10" s="1316"/>
      <c r="ID10" s="1316"/>
      <c r="IE10" s="1316"/>
      <c r="IF10" s="1316"/>
      <c r="IG10" s="1316"/>
      <c r="IH10" s="1316"/>
      <c r="II10" s="1316"/>
      <c r="IJ10" s="1316"/>
      <c r="IK10" s="1316"/>
      <c r="IL10" s="1316"/>
      <c r="IM10" s="1316"/>
      <c r="IN10" s="1316"/>
      <c r="IO10" s="1316"/>
      <c r="IP10" s="1316"/>
      <c r="IQ10" s="1316"/>
      <c r="IR10" s="1316"/>
      <c r="IS10" s="1316"/>
      <c r="IT10" s="1316"/>
      <c r="IU10" s="1316"/>
      <c r="IV10" s="1316"/>
      <c r="IW10" s="1316"/>
      <c r="IX10" s="1316"/>
    </row>
  </sheetData>
  <sheetProtection algorithmName="SHA-512" hashValue="Bk590hy/CybN+DkacgKZtpRDTjrsPGZKdEKWeyOXeeWW8vkIotoNav5Qb+Ai6gpHJutOPJXP6SmQzyqsLEbMKw==" saltValue="BcExKThHC4wC3my9pF9MSg==" spinCount="100000" sheet="1" selectLockedCells="1"/>
  <mergeCells count="24">
    <mergeCell ref="AW4:AX4"/>
    <mergeCell ref="AW6:AX6"/>
    <mergeCell ref="AM5:AN5"/>
    <mergeCell ref="AO5:AP5"/>
    <mergeCell ref="E5:F5"/>
    <mergeCell ref="G5:H5"/>
    <mergeCell ref="I5:J5"/>
    <mergeCell ref="K5:L5"/>
    <mergeCell ref="A1:AU2"/>
    <mergeCell ref="AG5:AH5"/>
    <mergeCell ref="AI5:AJ5"/>
    <mergeCell ref="AK5:AL5"/>
    <mergeCell ref="AQ5:AR5"/>
    <mergeCell ref="AT5:AU5"/>
    <mergeCell ref="M5:N5"/>
    <mergeCell ref="S5:T5"/>
    <mergeCell ref="AA5:AB5"/>
    <mergeCell ref="AC5:AD5"/>
    <mergeCell ref="AE5:AF5"/>
    <mergeCell ref="A4:A6"/>
    <mergeCell ref="B4:B6"/>
    <mergeCell ref="C4:T4"/>
    <mergeCell ref="AA4:AR4"/>
    <mergeCell ref="C5:D5"/>
  </mergeCells>
  <conditionalFormatting sqref="AA7:AL8 C7:T9 AQ7:AR9 AA9:AF9">
    <cfRule type="expression" dxfId="49" priority="6" stopIfTrue="1">
      <formula>#REF!&gt;0</formula>
    </cfRule>
  </conditionalFormatting>
  <conditionalFormatting sqref="AM7:AN7">
    <cfRule type="expression" dxfId="48" priority="3" stopIfTrue="1">
      <formula>$M7&gt;0</formula>
    </cfRule>
  </conditionalFormatting>
  <conditionalFormatting sqref="AT7:AU9">
    <cfRule type="containsText" dxfId="47" priority="4" operator="containsText" text="Errore">
      <formula>NOT(ISERROR(SEARCH("Errore",AT7)))</formula>
    </cfRule>
  </conditionalFormatting>
  <conditionalFormatting sqref="AW7:AX10">
    <cfRule type="cellIs" dxfId="46" priority="1" operator="notEqual">
      <formula>"OK"</formula>
    </cfRule>
  </conditionalFormatting>
  <conditionalFormatting sqref="AW10:AX10">
    <cfRule type="cellIs" dxfId="45" priority="2" operator="equal">
      <formula>"OK"</formula>
    </cfRule>
  </conditionalFormatting>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oglio37"/>
  <dimension ref="A1:AQ33"/>
  <sheetViews>
    <sheetView showGridLines="0" zoomScaleNormal="100" workbookViewId="0">
      <selection activeCell="AA6" sqref="AA6"/>
    </sheetView>
  </sheetViews>
  <sheetFormatPr defaultColWidth="9.33203125" defaultRowHeight="11.25" x14ac:dyDescent="0.2"/>
  <cols>
    <col min="1" max="1" width="33" style="3" customWidth="1"/>
    <col min="2" max="2" width="13.33203125" style="2" customWidth="1"/>
    <col min="3" max="8" width="11.1640625" style="3" hidden="1" customWidth="1"/>
    <col min="9" max="16" width="10.6640625" style="3" hidden="1" customWidth="1"/>
    <col min="17" max="26" width="9.33203125" style="3" hidden="1" customWidth="1"/>
    <col min="27" max="32" width="9.33203125" style="3" customWidth="1"/>
    <col min="33" max="36" width="11.1640625" style="3" customWidth="1"/>
    <col min="37" max="37" width="11.1640625" style="3" hidden="1" customWidth="1"/>
    <col min="38" max="38" width="11.1640625" style="3" customWidth="1"/>
    <col min="39" max="46" width="10.6640625" style="3" customWidth="1"/>
    <col min="47" max="47" width="9.33203125" style="3" customWidth="1"/>
    <col min="48" max="16384" width="9.33203125" style="3"/>
  </cols>
  <sheetData>
    <row r="1" spans="1:43" ht="43.5" customHeight="1" x14ac:dyDescent="0.2">
      <c r="A1" s="747" t="str">
        <f>'t1'!A1</f>
        <v>ENTI PUBBLICI NON ECONOMICI - anno 2024</v>
      </c>
      <c r="B1" s="747"/>
      <c r="C1" s="747"/>
      <c r="D1" s="747"/>
      <c r="E1" s="747"/>
      <c r="F1" s="747"/>
      <c r="G1" s="747"/>
      <c r="H1" s="747"/>
      <c r="I1" s="747"/>
      <c r="J1" s="747"/>
      <c r="L1" s="608"/>
      <c r="M1"/>
      <c r="AK1" s="1287" t="s">
        <v>557</v>
      </c>
      <c r="AP1" s="608"/>
      <c r="AQ1"/>
    </row>
    <row r="2" spans="1:43" ht="30" customHeight="1" thickBot="1" x14ac:dyDescent="0.25">
      <c r="A2" s="5"/>
      <c r="G2" s="1286"/>
      <c r="H2" s="1286"/>
      <c r="I2" s="1286"/>
      <c r="J2" s="1286"/>
      <c r="AK2" s="1285" t="s">
        <v>558</v>
      </c>
    </row>
    <row r="3" spans="1:43" ht="24.75" customHeight="1" thickBot="1" x14ac:dyDescent="0.25">
      <c r="A3" s="7"/>
      <c r="B3" s="8"/>
      <c r="C3" s="1283" t="s">
        <v>234</v>
      </c>
      <c r="D3" s="9"/>
      <c r="E3" s="9"/>
      <c r="F3" s="9"/>
      <c r="G3" s="1284"/>
      <c r="H3" s="1284"/>
      <c r="I3" s="1284"/>
      <c r="J3" s="1284"/>
      <c r="Y3" s="1283" t="s">
        <v>234</v>
      </c>
      <c r="Z3" s="9"/>
      <c r="AA3" s="9"/>
      <c r="AB3" s="9"/>
      <c r="AC3" s="9"/>
      <c r="AD3" s="9"/>
      <c r="AE3" s="9"/>
      <c r="AF3" s="9"/>
      <c r="AG3" s="9"/>
      <c r="AH3" s="109"/>
      <c r="AK3" s="1292">
        <v>2</v>
      </c>
    </row>
    <row r="4" spans="1:43" ht="52.5" customHeight="1" thickTop="1" x14ac:dyDescent="0.2">
      <c r="A4" s="1268" t="s">
        <v>89</v>
      </c>
      <c r="B4" s="1267" t="s">
        <v>57</v>
      </c>
      <c r="C4" s="115" t="s">
        <v>119</v>
      </c>
      <c r="D4" s="1282"/>
      <c r="E4" s="115" t="s">
        <v>120</v>
      </c>
      <c r="F4" s="1282"/>
      <c r="G4" s="115" t="s">
        <v>47</v>
      </c>
      <c r="H4" s="1282"/>
      <c r="I4" s="115" t="s">
        <v>723</v>
      </c>
      <c r="J4" s="1282"/>
      <c r="AA4" s="115" t="s">
        <v>119</v>
      </c>
      <c r="AB4" s="1282"/>
      <c r="AC4" s="115" t="s">
        <v>120</v>
      </c>
      <c r="AD4" s="1282"/>
      <c r="AE4" s="115" t="s">
        <v>47</v>
      </c>
      <c r="AF4" s="1282"/>
      <c r="AG4" s="115" t="s">
        <v>723</v>
      </c>
      <c r="AH4" s="1281"/>
    </row>
    <row r="5" spans="1:43" ht="20.25" customHeight="1" thickBot="1" x14ac:dyDescent="0.25">
      <c r="A5" s="1266"/>
      <c r="B5" s="1265"/>
      <c r="C5" s="1264" t="s">
        <v>58</v>
      </c>
      <c r="D5" s="1280" t="s">
        <v>59</v>
      </c>
      <c r="E5" s="1264" t="s">
        <v>58</v>
      </c>
      <c r="F5" s="1280" t="s">
        <v>59</v>
      </c>
      <c r="G5" s="1264" t="s">
        <v>58</v>
      </c>
      <c r="H5" s="1280" t="s">
        <v>59</v>
      </c>
      <c r="I5" s="1264" t="s">
        <v>58</v>
      </c>
      <c r="J5" s="1280" t="s">
        <v>59</v>
      </c>
      <c r="AA5" s="1264" t="s">
        <v>58</v>
      </c>
      <c r="AB5" s="1280" t="s">
        <v>59</v>
      </c>
      <c r="AC5" s="1264" t="s">
        <v>58</v>
      </c>
      <c r="AD5" s="1280" t="s">
        <v>59</v>
      </c>
      <c r="AE5" s="1264" t="s">
        <v>58</v>
      </c>
      <c r="AF5" s="1280" t="s">
        <v>59</v>
      </c>
      <c r="AG5" s="1264" t="s">
        <v>58</v>
      </c>
      <c r="AH5" s="1263" t="s">
        <v>59</v>
      </c>
    </row>
    <row r="6" spans="1:43" ht="20.25" customHeight="1" thickTop="1" x14ac:dyDescent="0.2">
      <c r="A6" s="1256" t="s">
        <v>428</v>
      </c>
      <c r="B6" s="1262" t="s">
        <v>429</v>
      </c>
      <c r="C6" s="1279">
        <f t="shared" ref="C6:J12" si="0">ROUND(AA6,2)</f>
        <v>0</v>
      </c>
      <c r="D6" s="1278">
        <f t="shared" si="0"/>
        <v>0</v>
      </c>
      <c r="E6" s="1279">
        <f t="shared" si="0"/>
        <v>0</v>
      </c>
      <c r="F6" s="1278">
        <f t="shared" si="0"/>
        <v>0</v>
      </c>
      <c r="G6" s="1279">
        <f t="shared" si="0"/>
        <v>0</v>
      </c>
      <c r="H6" s="1278">
        <f t="shared" si="0"/>
        <v>0</v>
      </c>
      <c r="I6" s="1279">
        <f t="shared" si="0"/>
        <v>0</v>
      </c>
      <c r="J6" s="1278">
        <f t="shared" si="0"/>
        <v>0</v>
      </c>
      <c r="AA6" s="1279"/>
      <c r="AB6" s="1278"/>
      <c r="AC6" s="1279"/>
      <c r="AD6" s="1278"/>
      <c r="AE6" s="1279"/>
      <c r="AF6" s="1278"/>
      <c r="AG6" s="1279"/>
      <c r="AH6" s="1276"/>
    </row>
    <row r="7" spans="1:43" ht="20.25" customHeight="1" x14ac:dyDescent="0.2">
      <c r="A7" s="1256" t="s">
        <v>430</v>
      </c>
      <c r="B7" s="1257" t="s">
        <v>431</v>
      </c>
      <c r="C7" s="1279">
        <f t="shared" si="0"/>
        <v>0</v>
      </c>
      <c r="D7" s="1278">
        <f t="shared" si="0"/>
        <v>0</v>
      </c>
      <c r="E7" s="1279">
        <f t="shared" si="0"/>
        <v>0</v>
      </c>
      <c r="F7" s="1278">
        <f t="shared" si="0"/>
        <v>0</v>
      </c>
      <c r="G7" s="1279">
        <f t="shared" si="0"/>
        <v>0</v>
      </c>
      <c r="H7" s="1278">
        <f t="shared" si="0"/>
        <v>0</v>
      </c>
      <c r="I7" s="1279">
        <f t="shared" si="0"/>
        <v>0</v>
      </c>
      <c r="J7" s="1278">
        <f t="shared" si="0"/>
        <v>0</v>
      </c>
      <c r="AA7" s="1279"/>
      <c r="AB7" s="1278"/>
      <c r="AC7" s="1279"/>
      <c r="AD7" s="1278"/>
      <c r="AE7" s="1279"/>
      <c r="AF7" s="1278"/>
      <c r="AG7" s="1279"/>
      <c r="AH7" s="1276"/>
    </row>
    <row r="8" spans="1:43" ht="24" x14ac:dyDescent="0.2">
      <c r="A8" s="1288" t="s">
        <v>983</v>
      </c>
      <c r="B8" s="1257" t="s">
        <v>984</v>
      </c>
      <c r="C8" s="1279">
        <f t="shared" si="0"/>
        <v>0</v>
      </c>
      <c r="D8" s="1278">
        <f t="shared" si="0"/>
        <v>0</v>
      </c>
      <c r="E8" s="1279">
        <f t="shared" si="0"/>
        <v>0</v>
      </c>
      <c r="F8" s="1278">
        <f t="shared" si="0"/>
        <v>0</v>
      </c>
      <c r="G8" s="1279">
        <f t="shared" si="0"/>
        <v>0</v>
      </c>
      <c r="H8" s="1278">
        <f t="shared" si="0"/>
        <v>0</v>
      </c>
      <c r="I8" s="1279">
        <f t="shared" si="0"/>
        <v>0</v>
      </c>
      <c r="J8" s="1278">
        <f t="shared" si="0"/>
        <v>0</v>
      </c>
      <c r="AA8" s="1279"/>
      <c r="AB8" s="1278"/>
      <c r="AC8" s="1279"/>
      <c r="AD8" s="1278"/>
      <c r="AE8" s="1279"/>
      <c r="AF8" s="1278"/>
      <c r="AG8" s="1279"/>
      <c r="AH8" s="1276"/>
    </row>
    <row r="9" spans="1:43" ht="20.25" customHeight="1" x14ac:dyDescent="0.2">
      <c r="A9" s="1256" t="s">
        <v>979</v>
      </c>
      <c r="B9" s="1257" t="s">
        <v>985</v>
      </c>
      <c r="C9" s="1279">
        <f t="shared" si="0"/>
        <v>0</v>
      </c>
      <c r="D9" s="1278">
        <f t="shared" si="0"/>
        <v>0</v>
      </c>
      <c r="E9" s="1279">
        <f t="shared" si="0"/>
        <v>0</v>
      </c>
      <c r="F9" s="1278">
        <f t="shared" si="0"/>
        <v>0</v>
      </c>
      <c r="G9" s="1279">
        <f t="shared" si="0"/>
        <v>0</v>
      </c>
      <c r="H9" s="1278">
        <f t="shared" si="0"/>
        <v>0</v>
      </c>
      <c r="I9" s="1279">
        <f t="shared" si="0"/>
        <v>0</v>
      </c>
      <c r="J9" s="1278">
        <f t="shared" si="0"/>
        <v>0</v>
      </c>
      <c r="AA9" s="1279"/>
      <c r="AB9" s="1278"/>
      <c r="AC9" s="1279"/>
      <c r="AD9" s="1278"/>
      <c r="AE9" s="1279"/>
      <c r="AF9" s="1278"/>
      <c r="AG9" s="1279"/>
      <c r="AH9" s="1276"/>
    </row>
    <row r="10" spans="1:43" ht="20.25" customHeight="1" x14ac:dyDescent="0.2">
      <c r="A10" s="1256" t="s">
        <v>980</v>
      </c>
      <c r="B10" s="1257" t="s">
        <v>986</v>
      </c>
      <c r="C10" s="1279">
        <f t="shared" si="0"/>
        <v>0</v>
      </c>
      <c r="D10" s="1278">
        <f t="shared" si="0"/>
        <v>0</v>
      </c>
      <c r="E10" s="1279">
        <f t="shared" si="0"/>
        <v>0</v>
      </c>
      <c r="F10" s="1278">
        <f t="shared" si="0"/>
        <v>0</v>
      </c>
      <c r="G10" s="1279">
        <f t="shared" si="0"/>
        <v>0</v>
      </c>
      <c r="H10" s="1278">
        <f t="shared" si="0"/>
        <v>0</v>
      </c>
      <c r="I10" s="1279">
        <f t="shared" si="0"/>
        <v>0</v>
      </c>
      <c r="J10" s="1278">
        <f t="shared" si="0"/>
        <v>0</v>
      </c>
      <c r="AA10" s="1277"/>
      <c r="AB10" s="1278"/>
      <c r="AC10" s="1277"/>
      <c r="AD10" s="1278"/>
      <c r="AE10" s="1277"/>
      <c r="AF10" s="1278"/>
      <c r="AG10" s="1277"/>
      <c r="AH10" s="1276"/>
    </row>
    <row r="11" spans="1:43" ht="20.25" customHeight="1" x14ac:dyDescent="0.2">
      <c r="A11" s="1256" t="s">
        <v>981</v>
      </c>
      <c r="B11" s="1257" t="s">
        <v>987</v>
      </c>
      <c r="C11" s="1279">
        <f t="shared" si="0"/>
        <v>0</v>
      </c>
      <c r="D11" s="1278">
        <f t="shared" si="0"/>
        <v>0</v>
      </c>
      <c r="E11" s="1279">
        <f t="shared" si="0"/>
        <v>0</v>
      </c>
      <c r="F11" s="1278">
        <f t="shared" si="0"/>
        <v>0</v>
      </c>
      <c r="G11" s="1279">
        <f t="shared" si="0"/>
        <v>0</v>
      </c>
      <c r="H11" s="1278">
        <f t="shared" si="0"/>
        <v>0</v>
      </c>
      <c r="I11" s="1279">
        <f t="shared" si="0"/>
        <v>0</v>
      </c>
      <c r="J11" s="1278">
        <f t="shared" si="0"/>
        <v>0</v>
      </c>
      <c r="AA11" s="1274"/>
      <c r="AB11" s="1275"/>
      <c r="AC11" s="1274"/>
      <c r="AD11" s="1275"/>
      <c r="AE11" s="1274"/>
      <c r="AF11" s="1275"/>
      <c r="AG11" s="1274"/>
      <c r="AH11" s="1273"/>
    </row>
    <row r="12" spans="1:43" ht="20.25" customHeight="1" thickBot="1" x14ac:dyDescent="0.25">
      <c r="A12" s="1256" t="s">
        <v>432</v>
      </c>
      <c r="B12" s="1255" t="s">
        <v>263</v>
      </c>
      <c r="C12" s="1274">
        <f t="shared" si="0"/>
        <v>0</v>
      </c>
      <c r="D12" s="1275">
        <f t="shared" si="0"/>
        <v>0</v>
      </c>
      <c r="E12" s="1274">
        <f t="shared" si="0"/>
        <v>0</v>
      </c>
      <c r="F12" s="1275">
        <f t="shared" si="0"/>
        <v>0</v>
      </c>
      <c r="G12" s="1274">
        <f t="shared" si="0"/>
        <v>0</v>
      </c>
      <c r="H12" s="1275">
        <f t="shared" si="0"/>
        <v>0</v>
      </c>
      <c r="I12" s="1274">
        <f t="shared" si="0"/>
        <v>0</v>
      </c>
      <c r="J12" s="1275">
        <f t="shared" si="0"/>
        <v>0</v>
      </c>
      <c r="AA12" s="1274"/>
      <c r="AB12" s="1275"/>
      <c r="AC12" s="1274"/>
      <c r="AD12" s="1275"/>
      <c r="AE12" s="1274"/>
      <c r="AF12" s="1275"/>
      <c r="AG12" s="1274"/>
      <c r="AH12" s="1273"/>
    </row>
    <row r="13" spans="1:43" ht="33" customHeight="1" thickTop="1" thickBot="1" x14ac:dyDescent="0.25">
      <c r="A13" s="12" t="s">
        <v>60</v>
      </c>
      <c r="B13" s="10"/>
      <c r="C13" s="1250">
        <f t="shared" ref="C13:J13" si="1">SUM(C6:C12)</f>
        <v>0</v>
      </c>
      <c r="D13" s="1272">
        <f t="shared" si="1"/>
        <v>0</v>
      </c>
      <c r="E13" s="1250">
        <f t="shared" si="1"/>
        <v>0</v>
      </c>
      <c r="F13" s="1272">
        <f t="shared" si="1"/>
        <v>0</v>
      </c>
      <c r="G13" s="1250">
        <f t="shared" si="1"/>
        <v>0</v>
      </c>
      <c r="H13" s="1272">
        <f t="shared" si="1"/>
        <v>0</v>
      </c>
      <c r="I13" s="1250">
        <f t="shared" si="1"/>
        <v>0</v>
      </c>
      <c r="J13" s="1272">
        <f t="shared" si="1"/>
        <v>0</v>
      </c>
      <c r="AA13" s="1250">
        <f t="shared" ref="AA13:AH13" si="2">SUM(AA6:AA12)</f>
        <v>0</v>
      </c>
      <c r="AB13" s="1272">
        <f t="shared" si="2"/>
        <v>0</v>
      </c>
      <c r="AC13" s="1250">
        <f t="shared" si="2"/>
        <v>0</v>
      </c>
      <c r="AD13" s="1272">
        <f t="shared" si="2"/>
        <v>0</v>
      </c>
      <c r="AE13" s="1250">
        <f t="shared" si="2"/>
        <v>0</v>
      </c>
      <c r="AF13" s="1272">
        <f t="shared" si="2"/>
        <v>0</v>
      </c>
      <c r="AG13" s="1250">
        <f t="shared" si="2"/>
        <v>0</v>
      </c>
      <c r="AH13" s="1249">
        <f t="shared" si="2"/>
        <v>0</v>
      </c>
    </row>
    <row r="14" spans="1:43" ht="8.25" customHeight="1" x14ac:dyDescent="0.2">
      <c r="A14" s="6"/>
    </row>
    <row r="15" spans="1:43" ht="12.75" x14ac:dyDescent="0.2">
      <c r="A15" s="1246"/>
    </row>
    <row r="16" spans="1:43" ht="14.25" x14ac:dyDescent="0.2">
      <c r="A16" s="1470" t="s">
        <v>1053</v>
      </c>
      <c r="B16" s="1470"/>
      <c r="C16" s="1470"/>
      <c r="D16" s="1470"/>
      <c r="E16" s="1470"/>
      <c r="F16" s="1470"/>
      <c r="G16" s="1470"/>
      <c r="H16" s="1470"/>
      <c r="I16" s="1470"/>
      <c r="J16" s="1470"/>
      <c r="K16" s="1470"/>
      <c r="L16" s="1470"/>
      <c r="M16" s="1470"/>
      <c r="N16" s="1470"/>
      <c r="O16" s="1470"/>
      <c r="P16" s="1470"/>
      <c r="Q16" s="1470"/>
      <c r="R16" s="1470"/>
      <c r="S16" s="1470"/>
      <c r="T16" s="1470"/>
      <c r="U16" s="1470"/>
      <c r="V16" s="1470"/>
      <c r="W16" s="1470"/>
      <c r="X16" s="1470"/>
      <c r="Y16" s="1470"/>
      <c r="Z16" s="1470"/>
      <c r="AA16" s="1470"/>
      <c r="AB16" s="1470"/>
      <c r="AC16" s="1470"/>
    </row>
    <row r="17" spans="1:36" ht="14.25" x14ac:dyDescent="0.2">
      <c r="A17" s="1271"/>
      <c r="B17" s="1271"/>
      <c r="C17" s="1271"/>
      <c r="D17" s="1271"/>
      <c r="E17" s="1271"/>
      <c r="F17" s="1271"/>
      <c r="G17" s="1271"/>
      <c r="H17" s="1271"/>
      <c r="I17" s="1271"/>
      <c r="J17" s="1271"/>
      <c r="K17" s="1271"/>
      <c r="L17" s="1271"/>
      <c r="M17" s="1271"/>
      <c r="N17" s="1271"/>
      <c r="O17" s="1271"/>
      <c r="P17" s="1271"/>
      <c r="Q17" s="1271"/>
      <c r="R17" s="1271"/>
      <c r="S17" s="1271"/>
      <c r="T17" s="1271"/>
      <c r="U17" s="1271"/>
      <c r="V17" s="1271"/>
      <c r="W17" s="1271"/>
      <c r="X17" s="1271"/>
      <c r="Y17" s="1271"/>
      <c r="Z17" s="1271"/>
      <c r="AA17" s="1271"/>
      <c r="AB17" s="1271"/>
      <c r="AC17" s="1271"/>
    </row>
    <row r="18" spans="1:36" x14ac:dyDescent="0.2">
      <c r="AA18"/>
    </row>
    <row r="19" spans="1:36" ht="30" customHeight="1" thickBot="1" x14ac:dyDescent="0.25">
      <c r="A19" s="5"/>
      <c r="C19" s="1270"/>
      <c r="D19" s="1270"/>
      <c r="E19" s="1270"/>
      <c r="F19" s="1270"/>
      <c r="G19" s="1471"/>
      <c r="H19" s="1471"/>
      <c r="I19" s="1471"/>
      <c r="J19" s="1471"/>
      <c r="K19" s="1471"/>
      <c r="L19" s="1471"/>
    </row>
    <row r="20" spans="1:36" ht="24.75" customHeight="1" thickBot="1" x14ac:dyDescent="0.25">
      <c r="A20" s="7"/>
      <c r="B20" s="8"/>
      <c r="D20" s="1269"/>
      <c r="E20" s="1269"/>
      <c r="F20" s="1269"/>
      <c r="G20" s="1269"/>
      <c r="H20" s="1269"/>
      <c r="I20" s="247"/>
      <c r="J20" s="247"/>
      <c r="K20" s="247"/>
      <c r="L20" s="248"/>
      <c r="AA20" s="247"/>
      <c r="AB20" s="247"/>
      <c r="AC20" s="247"/>
      <c r="AD20" s="247"/>
      <c r="AE20" s="247"/>
      <c r="AF20" s="247"/>
      <c r="AG20" s="247"/>
      <c r="AH20" s="247"/>
      <c r="AI20" s="247"/>
      <c r="AJ20" s="248"/>
    </row>
    <row r="21" spans="1:36" ht="52.5" customHeight="1" thickTop="1" x14ac:dyDescent="0.2">
      <c r="A21" s="1268" t="s">
        <v>89</v>
      </c>
      <c r="B21" s="1267" t="s">
        <v>57</v>
      </c>
      <c r="C21" s="1472" t="s">
        <v>1052</v>
      </c>
      <c r="D21" s="1473"/>
      <c r="E21" s="1472" t="s">
        <v>1051</v>
      </c>
      <c r="F21" s="1473"/>
      <c r="G21" s="1472" t="s">
        <v>1050</v>
      </c>
      <c r="H21" s="1473"/>
      <c r="I21" s="1472" t="s">
        <v>0</v>
      </c>
      <c r="J21" s="1473"/>
      <c r="K21" s="1472" t="s">
        <v>1</v>
      </c>
      <c r="L21" s="1474"/>
      <c r="AA21" s="1472" t="s">
        <v>1049</v>
      </c>
      <c r="AB21" s="1473"/>
      <c r="AC21" s="1472" t="s">
        <v>1048</v>
      </c>
      <c r="AD21" s="1473"/>
      <c r="AE21" s="1472" t="s">
        <v>1047</v>
      </c>
      <c r="AF21" s="1473"/>
      <c r="AG21" s="1472" t="s">
        <v>1046</v>
      </c>
      <c r="AH21" s="1473"/>
      <c r="AI21" s="1472" t="s">
        <v>1045</v>
      </c>
      <c r="AJ21" s="1474"/>
    </row>
    <row r="22" spans="1:36" ht="20.25" customHeight="1" thickBot="1" x14ac:dyDescent="0.25">
      <c r="A22" s="1266"/>
      <c r="B22" s="1265"/>
      <c r="C22" s="1264" t="s">
        <v>58</v>
      </c>
      <c r="D22" s="1263" t="s">
        <v>59</v>
      </c>
      <c r="E22" s="1264" t="s">
        <v>58</v>
      </c>
      <c r="F22" s="1263" t="s">
        <v>59</v>
      </c>
      <c r="G22" s="1264" t="s">
        <v>58</v>
      </c>
      <c r="H22" s="1263" t="s">
        <v>59</v>
      </c>
      <c r="I22" s="1264" t="s">
        <v>58</v>
      </c>
      <c r="J22" s="1263" t="s">
        <v>59</v>
      </c>
      <c r="K22" s="1264" t="s">
        <v>58</v>
      </c>
      <c r="L22" s="1263" t="s">
        <v>59</v>
      </c>
      <c r="AA22" s="1264" t="s">
        <v>58</v>
      </c>
      <c r="AB22" s="1263" t="s">
        <v>59</v>
      </c>
      <c r="AC22" s="1264" t="s">
        <v>58</v>
      </c>
      <c r="AD22" s="1263" t="s">
        <v>59</v>
      </c>
      <c r="AE22" s="1264" t="s">
        <v>58</v>
      </c>
      <c r="AF22" s="1263" t="s">
        <v>59</v>
      </c>
      <c r="AG22" s="1264" t="s">
        <v>58</v>
      </c>
      <c r="AH22" s="1263" t="s">
        <v>59</v>
      </c>
      <c r="AI22" s="1264" t="s">
        <v>58</v>
      </c>
      <c r="AJ22" s="1263" t="s">
        <v>59</v>
      </c>
    </row>
    <row r="23" spans="1:36" ht="20.25" customHeight="1" thickTop="1" x14ac:dyDescent="0.2">
      <c r="A23" s="1256" t="s">
        <v>428</v>
      </c>
      <c r="B23" s="1262" t="s">
        <v>429</v>
      </c>
      <c r="C23" s="1261">
        <f t="shared" ref="C23:L29" si="3">ROUND(AA23,0)</f>
        <v>0</v>
      </c>
      <c r="D23" s="1259">
        <f t="shared" si="3"/>
        <v>0</v>
      </c>
      <c r="E23" s="1261">
        <f t="shared" si="3"/>
        <v>0</v>
      </c>
      <c r="F23" s="1259">
        <f t="shared" si="3"/>
        <v>0</v>
      </c>
      <c r="G23" s="1261">
        <f t="shared" si="3"/>
        <v>0</v>
      </c>
      <c r="H23" s="1259">
        <f t="shared" si="3"/>
        <v>0</v>
      </c>
      <c r="I23" s="1261">
        <f t="shared" si="3"/>
        <v>0</v>
      </c>
      <c r="J23" s="1259">
        <f t="shared" si="3"/>
        <v>0</v>
      </c>
      <c r="K23" s="1261">
        <f t="shared" si="3"/>
        <v>0</v>
      </c>
      <c r="L23" s="1259">
        <f t="shared" si="3"/>
        <v>0</v>
      </c>
      <c r="AA23" s="1260"/>
      <c r="AB23" s="1258"/>
      <c r="AC23" s="1260"/>
      <c r="AD23" s="1258"/>
      <c r="AE23" s="1260"/>
      <c r="AF23" s="1258"/>
      <c r="AG23" s="1260"/>
      <c r="AH23" s="1258"/>
      <c r="AI23" s="1260"/>
      <c r="AJ23" s="1258"/>
    </row>
    <row r="24" spans="1:36" ht="20.25" customHeight="1" x14ac:dyDescent="0.2">
      <c r="A24" s="1256" t="s">
        <v>430</v>
      </c>
      <c r="B24" s="1257" t="s">
        <v>431</v>
      </c>
      <c r="C24" s="1261">
        <f t="shared" si="3"/>
        <v>0</v>
      </c>
      <c r="D24" s="1259">
        <f t="shared" si="3"/>
        <v>0</v>
      </c>
      <c r="E24" s="1261">
        <f t="shared" si="3"/>
        <v>0</v>
      </c>
      <c r="F24" s="1259">
        <f t="shared" si="3"/>
        <v>0</v>
      </c>
      <c r="G24" s="1261">
        <f t="shared" si="3"/>
        <v>0</v>
      </c>
      <c r="H24" s="1259">
        <f t="shared" si="3"/>
        <v>0</v>
      </c>
      <c r="I24" s="1261">
        <f t="shared" si="3"/>
        <v>0</v>
      </c>
      <c r="J24" s="1259">
        <f t="shared" si="3"/>
        <v>0</v>
      </c>
      <c r="K24" s="1261">
        <f t="shared" si="3"/>
        <v>0</v>
      </c>
      <c r="L24" s="1259">
        <f t="shared" si="3"/>
        <v>0</v>
      </c>
      <c r="AA24" s="1260"/>
      <c r="AB24" s="1258"/>
      <c r="AC24" s="1260"/>
      <c r="AD24" s="1258"/>
      <c r="AE24" s="1260"/>
      <c r="AF24" s="1258"/>
      <c r="AG24" s="1260"/>
      <c r="AH24" s="1258"/>
      <c r="AI24" s="1260"/>
      <c r="AJ24" s="1258"/>
    </row>
    <row r="25" spans="1:36" ht="24" x14ac:dyDescent="0.2">
      <c r="A25" s="1288" t="s">
        <v>983</v>
      </c>
      <c r="B25" s="1257" t="s">
        <v>984</v>
      </c>
      <c r="C25" s="1261">
        <f t="shared" si="3"/>
        <v>0</v>
      </c>
      <c r="D25" s="1259">
        <f t="shared" si="3"/>
        <v>0</v>
      </c>
      <c r="E25" s="1261">
        <f t="shared" si="3"/>
        <v>0</v>
      </c>
      <c r="F25" s="1259">
        <f t="shared" si="3"/>
        <v>0</v>
      </c>
      <c r="G25" s="1261">
        <f t="shared" si="3"/>
        <v>0</v>
      </c>
      <c r="H25" s="1259">
        <f t="shared" si="3"/>
        <v>0</v>
      </c>
      <c r="I25" s="1261">
        <f t="shared" si="3"/>
        <v>0</v>
      </c>
      <c r="J25" s="1259">
        <f t="shared" si="3"/>
        <v>0</v>
      </c>
      <c r="K25" s="1261">
        <f t="shared" si="3"/>
        <v>0</v>
      </c>
      <c r="L25" s="1259">
        <f t="shared" si="3"/>
        <v>0</v>
      </c>
      <c r="AA25" s="1260"/>
      <c r="AB25" s="1258"/>
      <c r="AC25" s="1260"/>
      <c r="AD25" s="1258"/>
      <c r="AE25" s="1260"/>
      <c r="AF25" s="1258"/>
      <c r="AG25" s="1260"/>
      <c r="AH25" s="1258"/>
      <c r="AI25" s="1260"/>
      <c r="AJ25" s="1258"/>
    </row>
    <row r="26" spans="1:36" ht="20.25" customHeight="1" x14ac:dyDescent="0.2">
      <c r="A26" s="1256" t="s">
        <v>979</v>
      </c>
      <c r="B26" s="1257" t="s">
        <v>985</v>
      </c>
      <c r="C26" s="1261">
        <f t="shared" si="3"/>
        <v>0</v>
      </c>
      <c r="D26" s="1259">
        <f t="shared" si="3"/>
        <v>0</v>
      </c>
      <c r="E26" s="1261">
        <f t="shared" si="3"/>
        <v>0</v>
      </c>
      <c r="F26" s="1259">
        <f t="shared" si="3"/>
        <v>0</v>
      </c>
      <c r="G26" s="1261">
        <f t="shared" si="3"/>
        <v>0</v>
      </c>
      <c r="H26" s="1259">
        <f t="shared" si="3"/>
        <v>0</v>
      </c>
      <c r="I26" s="1261">
        <f t="shared" si="3"/>
        <v>0</v>
      </c>
      <c r="J26" s="1259">
        <f t="shared" si="3"/>
        <v>0</v>
      </c>
      <c r="K26" s="1261">
        <f t="shared" si="3"/>
        <v>0</v>
      </c>
      <c r="L26" s="1259">
        <f t="shared" si="3"/>
        <v>0</v>
      </c>
      <c r="AA26" s="1260"/>
      <c r="AB26" s="1258"/>
      <c r="AC26" s="1260"/>
      <c r="AD26" s="1258"/>
      <c r="AE26" s="1260"/>
      <c r="AF26" s="1258"/>
      <c r="AG26" s="1260"/>
      <c r="AH26" s="1258"/>
      <c r="AI26" s="1260"/>
      <c r="AJ26" s="1258"/>
    </row>
    <row r="27" spans="1:36" ht="20.25" customHeight="1" x14ac:dyDescent="0.2">
      <c r="A27" s="1256" t="s">
        <v>980</v>
      </c>
      <c r="B27" s="1257" t="s">
        <v>986</v>
      </c>
      <c r="C27" s="1261">
        <f t="shared" si="3"/>
        <v>0</v>
      </c>
      <c r="D27" s="1259">
        <f t="shared" si="3"/>
        <v>0</v>
      </c>
      <c r="E27" s="1261">
        <f t="shared" si="3"/>
        <v>0</v>
      </c>
      <c r="F27" s="1259">
        <f t="shared" si="3"/>
        <v>0</v>
      </c>
      <c r="G27" s="1261">
        <f t="shared" si="3"/>
        <v>0</v>
      </c>
      <c r="H27" s="1259">
        <f t="shared" si="3"/>
        <v>0</v>
      </c>
      <c r="I27" s="1261">
        <f t="shared" si="3"/>
        <v>0</v>
      </c>
      <c r="J27" s="1259">
        <f t="shared" si="3"/>
        <v>0</v>
      </c>
      <c r="K27" s="1261">
        <f t="shared" si="3"/>
        <v>0</v>
      </c>
      <c r="L27" s="1259">
        <f t="shared" si="3"/>
        <v>0</v>
      </c>
      <c r="AA27" s="1260"/>
      <c r="AB27" s="1258"/>
      <c r="AC27" s="1260"/>
      <c r="AD27" s="1258"/>
      <c r="AE27" s="1260"/>
      <c r="AF27" s="1258"/>
      <c r="AG27" s="1260"/>
      <c r="AH27" s="1258"/>
      <c r="AI27" s="1260"/>
      <c r="AJ27" s="1258"/>
    </row>
    <row r="28" spans="1:36" ht="20.25" customHeight="1" x14ac:dyDescent="0.2">
      <c r="A28" s="1256" t="s">
        <v>981</v>
      </c>
      <c r="B28" s="1257" t="s">
        <v>987</v>
      </c>
      <c r="C28" s="1261">
        <f t="shared" si="3"/>
        <v>0</v>
      </c>
      <c r="D28" s="1259">
        <f t="shared" si="3"/>
        <v>0</v>
      </c>
      <c r="E28" s="1261">
        <f t="shared" si="3"/>
        <v>0</v>
      </c>
      <c r="F28" s="1259">
        <f t="shared" si="3"/>
        <v>0</v>
      </c>
      <c r="G28" s="1261">
        <f t="shared" si="3"/>
        <v>0</v>
      </c>
      <c r="H28" s="1259">
        <f t="shared" si="3"/>
        <v>0</v>
      </c>
      <c r="I28" s="1261">
        <f t="shared" si="3"/>
        <v>0</v>
      </c>
      <c r="J28" s="1259">
        <f t="shared" si="3"/>
        <v>0</v>
      </c>
      <c r="K28" s="1261">
        <f t="shared" si="3"/>
        <v>0</v>
      </c>
      <c r="L28" s="1259">
        <f t="shared" si="3"/>
        <v>0</v>
      </c>
      <c r="AA28" s="1252"/>
      <c r="AB28" s="1251"/>
      <c r="AC28" s="1252"/>
      <c r="AD28" s="1251"/>
      <c r="AE28" s="1252"/>
      <c r="AF28" s="1251"/>
      <c r="AG28" s="1252"/>
      <c r="AH28" s="1251"/>
      <c r="AI28" s="1252"/>
      <c r="AJ28" s="1251"/>
    </row>
    <row r="29" spans="1:36" ht="20.25" customHeight="1" thickBot="1" x14ac:dyDescent="0.25">
      <c r="A29" s="1256" t="s">
        <v>432</v>
      </c>
      <c r="B29" s="1255" t="s">
        <v>263</v>
      </c>
      <c r="C29" s="1254">
        <f t="shared" si="3"/>
        <v>0</v>
      </c>
      <c r="D29" s="1253">
        <f t="shared" si="3"/>
        <v>0</v>
      </c>
      <c r="E29" s="1254">
        <f t="shared" si="3"/>
        <v>0</v>
      </c>
      <c r="F29" s="1253">
        <f t="shared" si="3"/>
        <v>0</v>
      </c>
      <c r="G29" s="1254">
        <f t="shared" si="3"/>
        <v>0</v>
      </c>
      <c r="H29" s="1253">
        <f t="shared" si="3"/>
        <v>0</v>
      </c>
      <c r="I29" s="1254">
        <f t="shared" si="3"/>
        <v>0</v>
      </c>
      <c r="J29" s="1253">
        <f t="shared" si="3"/>
        <v>0</v>
      </c>
      <c r="K29" s="1254">
        <f t="shared" si="3"/>
        <v>0</v>
      </c>
      <c r="L29" s="1253">
        <f t="shared" si="3"/>
        <v>0</v>
      </c>
      <c r="AA29" s="1252"/>
      <c r="AB29" s="1251"/>
      <c r="AC29" s="1252"/>
      <c r="AD29" s="1251"/>
      <c r="AE29" s="1252"/>
      <c r="AF29" s="1251"/>
      <c r="AG29" s="1252"/>
      <c r="AH29" s="1251"/>
      <c r="AI29" s="1252"/>
      <c r="AJ29" s="1251"/>
    </row>
    <row r="30" spans="1:36" ht="33" customHeight="1" thickTop="1" thickBot="1" x14ac:dyDescent="0.25">
      <c r="A30" s="12" t="s">
        <v>60</v>
      </c>
      <c r="B30" s="10"/>
      <c r="C30" s="1250">
        <f t="shared" ref="C30:L30" si="4">SUM(C23:C29)</f>
        <v>0</v>
      </c>
      <c r="D30" s="1249">
        <f t="shared" si="4"/>
        <v>0</v>
      </c>
      <c r="E30" s="1250">
        <f t="shared" si="4"/>
        <v>0</v>
      </c>
      <c r="F30" s="1249">
        <f t="shared" si="4"/>
        <v>0</v>
      </c>
      <c r="G30" s="1250">
        <f t="shared" si="4"/>
        <v>0</v>
      </c>
      <c r="H30" s="1249">
        <f t="shared" si="4"/>
        <v>0</v>
      </c>
      <c r="I30" s="1250">
        <f t="shared" si="4"/>
        <v>0</v>
      </c>
      <c r="J30" s="1249">
        <f t="shared" si="4"/>
        <v>0</v>
      </c>
      <c r="K30" s="1250">
        <f t="shared" si="4"/>
        <v>0</v>
      </c>
      <c r="L30" s="1249">
        <f t="shared" si="4"/>
        <v>0</v>
      </c>
      <c r="AA30" s="1248">
        <f t="shared" ref="AA30:AJ30" si="5">SUM(AA23:AA29)</f>
        <v>0</v>
      </c>
      <c r="AB30" s="1247">
        <f t="shared" si="5"/>
        <v>0</v>
      </c>
      <c r="AC30" s="1248">
        <f t="shared" si="5"/>
        <v>0</v>
      </c>
      <c r="AD30" s="1247">
        <f t="shared" si="5"/>
        <v>0</v>
      </c>
      <c r="AE30" s="1248">
        <f t="shared" si="5"/>
        <v>0</v>
      </c>
      <c r="AF30" s="1247">
        <f t="shared" si="5"/>
        <v>0</v>
      </c>
      <c r="AG30" s="1248">
        <f t="shared" si="5"/>
        <v>0</v>
      </c>
      <c r="AH30" s="1247">
        <f t="shared" si="5"/>
        <v>0</v>
      </c>
      <c r="AI30" s="1248">
        <f t="shared" si="5"/>
        <v>0</v>
      </c>
      <c r="AJ30" s="1247">
        <f t="shared" si="5"/>
        <v>0</v>
      </c>
    </row>
    <row r="31" spans="1:36" ht="8.25" customHeight="1" x14ac:dyDescent="0.2">
      <c r="A31" s="6"/>
    </row>
    <row r="32" spans="1:36" ht="12.75" x14ac:dyDescent="0.2">
      <c r="A32" s="1246" t="s">
        <v>121</v>
      </c>
    </row>
    <row r="33" spans="1:1" ht="12.75" x14ac:dyDescent="0.2">
      <c r="A33" s="1246" t="s">
        <v>122</v>
      </c>
    </row>
  </sheetData>
  <sheetProtection algorithmName="SHA-512" hashValue="D45TRtFyUNDoOiWrkAlcpzTqPsjFww8eYVI6UNydXFvQmHdn/vdi7X70NIEsV2DzOMSdDInN/RcNbn5LO35uCg==" saltValue="+0jVFaxnFK9mF2eDROIgqw==" spinCount="100000" sheet="1" formatColumns="0" selectLockedCells="1"/>
  <mergeCells count="12">
    <mergeCell ref="AG21:AH21"/>
    <mergeCell ref="AI21:AJ21"/>
    <mergeCell ref="AC21:AD21"/>
    <mergeCell ref="AE21:AF21"/>
    <mergeCell ref="E21:F21"/>
    <mergeCell ref="G21:H21"/>
    <mergeCell ref="A16:AC16"/>
    <mergeCell ref="G19:L19"/>
    <mergeCell ref="C21:D21"/>
    <mergeCell ref="I21:J21"/>
    <mergeCell ref="K21:L21"/>
    <mergeCell ref="AA21:AB21"/>
  </mergeCells>
  <dataValidations count="2">
    <dataValidation type="whole" allowBlank="1" showErrorMessage="1" promptTitle="ATTENZIONE!" prompt="Inserire solo numeri decimali con due cifre dopo la virgola" sqref="C23:L29 AA23:AJ29" xr:uid="{00000000-0002-0000-0400-000000000000}">
      <formula1>0</formula1>
      <formula2>9999999</formula2>
    </dataValidation>
    <dataValidation type="decimal" allowBlank="1" showInputMessage="1" showErrorMessage="1" promptTitle="ATTENZIONE!" prompt="Inserire solo numeri decimali con due cifre dopo la virgola" sqref="C6:J12 AA6:AH12" xr:uid="{00000000-0002-0000-0400-000001000000}">
      <formula1>0</formula1>
      <formula2>9999999</formula2>
    </dataValidation>
  </dataValidations>
  <printOptions horizontalCentered="1" verticalCentered="1"/>
  <pageMargins left="0" right="0" top="0.19685039370078741" bottom="0.31496062992125984" header="0.51181102362204722" footer="0.51181102362204722"/>
  <pageSetup paperSize="9" scale="90" orientation="landscape" horizontalDpi="300" verticalDpi="4294967292"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390465" r:id="rId4" name="Drop Down 1">
              <controlPr defaultSize="0" autoLine="0" autoPict="0" altText="No">
                <anchor moveWithCells="1">
                  <from>
                    <xdr:col>29</xdr:col>
                    <xdr:colOff>180975</xdr:colOff>
                    <xdr:row>14</xdr:row>
                    <xdr:rowOff>142875</xdr:rowOff>
                  </from>
                  <to>
                    <xdr:col>30</xdr:col>
                    <xdr:colOff>247650</xdr:colOff>
                    <xdr:row>15</xdr:row>
                    <xdr:rowOff>171450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oglio34"/>
  <dimension ref="A1:T33"/>
  <sheetViews>
    <sheetView workbookViewId="0">
      <selection activeCell="D12" sqref="D12"/>
    </sheetView>
  </sheetViews>
  <sheetFormatPr defaultColWidth="9.33203125" defaultRowHeight="10.5" x14ac:dyDescent="0.15"/>
  <cols>
    <col min="1" max="1" width="6.1640625" style="482" bestFit="1" customWidth="1"/>
    <col min="2" max="2" width="13" style="475" customWidth="1"/>
    <col min="3" max="3" width="33.83203125" style="475" customWidth="1"/>
    <col min="4" max="11" width="13.5" style="475" customWidth="1"/>
    <col min="12" max="19" width="7.6640625" style="475" hidden="1" customWidth="1"/>
    <col min="20" max="20" width="0" style="475" hidden="1" customWidth="1"/>
    <col min="21" max="21" width="8" style="475" customWidth="1"/>
    <col min="22" max="22" width="10.5" style="475" customWidth="1"/>
    <col min="23" max="16384" width="9.33203125" style="475"/>
  </cols>
  <sheetData>
    <row r="1" spans="1:19" ht="23.25" customHeight="1" x14ac:dyDescent="0.15">
      <c r="A1" s="482" t="str">
        <f>SI_1!A2</f>
        <v>EPNE</v>
      </c>
      <c r="B1" s="1475" t="str">
        <f>'t1'!A1</f>
        <v>ENTI PUBBLICI NON ECONOMICI - anno 2024</v>
      </c>
      <c r="C1" s="1475"/>
      <c r="D1" s="1475"/>
      <c r="E1" s="1475"/>
      <c r="F1" s="1475"/>
      <c r="G1" s="1475"/>
      <c r="H1" s="1475"/>
      <c r="I1" s="1475"/>
      <c r="J1" s="1475"/>
      <c r="K1" s="1475"/>
      <c r="L1" s="1475"/>
      <c r="M1" s="1475"/>
      <c r="N1" s="1475"/>
      <c r="O1" s="1475"/>
      <c r="P1" s="1475"/>
      <c r="Q1" s="1475"/>
      <c r="R1" s="1475"/>
      <c r="S1" s="1475"/>
    </row>
    <row r="3" spans="1:19" ht="23.25" customHeight="1" x14ac:dyDescent="0.25">
      <c r="D3" s="480"/>
      <c r="E3" s="480"/>
      <c r="F3" s="480"/>
      <c r="G3" s="480"/>
      <c r="H3" s="480"/>
      <c r="I3" s="480"/>
      <c r="J3" s="497"/>
      <c r="K3" s="497"/>
      <c r="M3" s="481"/>
      <c r="N3" s="481"/>
      <c r="O3" s="481"/>
      <c r="P3" s="481"/>
      <c r="Q3" s="481"/>
      <c r="R3" s="481"/>
    </row>
    <row r="4" spans="1:19" ht="12" x14ac:dyDescent="0.2">
      <c r="D4" s="483"/>
    </row>
    <row r="6" spans="1:19" ht="15" hidden="1" customHeight="1" thickTop="1" x14ac:dyDescent="0.15">
      <c r="B6" s="1476"/>
      <c r="C6" s="1477"/>
      <c r="D6" s="1478"/>
      <c r="E6" s="1479"/>
      <c r="F6" s="1479"/>
      <c r="G6" s="1479"/>
      <c r="H6" s="1479"/>
      <c r="I6" s="1479"/>
      <c r="J6" s="1479"/>
      <c r="K6" s="1480"/>
      <c r="L6" s="1478"/>
      <c r="M6" s="1479"/>
      <c r="N6" s="1479"/>
      <c r="O6" s="1479"/>
      <c r="P6" s="1479"/>
      <c r="Q6" s="1479"/>
      <c r="R6" s="1479"/>
      <c r="S6" s="1480"/>
    </row>
    <row r="7" spans="1:19" ht="13.5" hidden="1" customHeight="1" x14ac:dyDescent="0.15">
      <c r="B7" s="1476"/>
      <c r="C7" s="1477"/>
      <c r="D7" s="1481"/>
      <c r="E7" s="1476"/>
      <c r="F7" s="1476"/>
      <c r="G7" s="1476"/>
      <c r="H7" s="1476"/>
      <c r="I7" s="1476"/>
      <c r="J7" s="1476"/>
      <c r="K7" s="1482"/>
      <c r="L7" s="1481"/>
      <c r="M7" s="1476"/>
      <c r="N7" s="1476"/>
      <c r="O7" s="1476"/>
      <c r="P7" s="1476"/>
      <c r="Q7" s="1476"/>
      <c r="R7" s="1476"/>
      <c r="S7" s="1482"/>
    </row>
    <row r="8" spans="1:19" ht="60" customHeight="1" x14ac:dyDescent="0.2">
      <c r="B8" s="1476" t="s">
        <v>323</v>
      </c>
      <c r="C8" s="1477"/>
      <c r="D8" s="1488" t="s">
        <v>291</v>
      </c>
      <c r="E8" s="1483"/>
      <c r="F8" s="1483" t="s">
        <v>292</v>
      </c>
      <c r="G8" s="1483"/>
      <c r="H8" s="1483" t="s">
        <v>293</v>
      </c>
      <c r="I8" s="1483"/>
      <c r="J8" s="1483" t="s">
        <v>294</v>
      </c>
      <c r="K8" s="1484"/>
      <c r="L8" s="1486"/>
      <c r="M8" s="1483"/>
      <c r="N8" s="1483"/>
      <c r="O8" s="1483"/>
      <c r="P8" s="1483"/>
      <c r="Q8" s="1483"/>
      <c r="R8" s="1483"/>
      <c r="S8" s="1484"/>
    </row>
    <row r="9" spans="1:19" ht="12" x14ac:dyDescent="0.2">
      <c r="B9" s="1483" t="s">
        <v>295</v>
      </c>
      <c r="C9" s="1485"/>
      <c r="D9" s="488" t="s">
        <v>75</v>
      </c>
      <c r="E9" s="487" t="s">
        <v>76</v>
      </c>
      <c r="F9" s="486" t="s">
        <v>75</v>
      </c>
      <c r="G9" s="487" t="s">
        <v>76</v>
      </c>
      <c r="H9" s="486" t="s">
        <v>75</v>
      </c>
      <c r="I9" s="487" t="s">
        <v>76</v>
      </c>
      <c r="J9" s="486" t="s">
        <v>75</v>
      </c>
      <c r="K9" s="489" t="s">
        <v>76</v>
      </c>
      <c r="L9" s="488"/>
      <c r="M9" s="487"/>
      <c r="N9" s="486"/>
      <c r="O9" s="487"/>
      <c r="P9" s="486"/>
      <c r="Q9" s="487"/>
      <c r="R9" s="486"/>
      <c r="S9" s="489"/>
    </row>
    <row r="10" spans="1:19" ht="30.75" hidden="1" customHeight="1" x14ac:dyDescent="0.2">
      <c r="A10" s="482" t="s">
        <v>1163</v>
      </c>
      <c r="B10" s="1476" t="s">
        <v>1086</v>
      </c>
      <c r="C10" s="1477"/>
      <c r="D10" s="583"/>
      <c r="E10" s="499"/>
      <c r="F10" s="499"/>
      <c r="G10" s="499"/>
      <c r="H10" s="500"/>
      <c r="I10" s="500"/>
      <c r="J10" s="500"/>
      <c r="K10" s="502"/>
      <c r="L10" s="501"/>
      <c r="M10" s="500"/>
      <c r="N10" s="500"/>
      <c r="O10" s="500"/>
      <c r="P10" s="500"/>
      <c r="Q10" s="500"/>
      <c r="R10" s="500"/>
      <c r="S10" s="502"/>
    </row>
    <row r="11" spans="1:19" ht="8.1" customHeight="1" x14ac:dyDescent="0.2">
      <c r="B11" s="1487"/>
      <c r="C11" s="1487"/>
      <c r="D11" s="1487"/>
      <c r="E11" s="1487"/>
      <c r="F11" s="1487"/>
      <c r="G11" s="1487"/>
      <c r="H11" s="1487"/>
      <c r="I11" s="1487"/>
      <c r="J11" s="1487"/>
      <c r="K11" s="1487"/>
      <c r="L11" s="1487"/>
      <c r="M11" s="1487"/>
      <c r="N11" s="1487"/>
      <c r="O11" s="1487"/>
      <c r="P11" s="1487"/>
      <c r="Q11" s="1487"/>
      <c r="R11" s="1487"/>
      <c r="S11" s="1487"/>
    </row>
    <row r="12" spans="1:19" ht="12" x14ac:dyDescent="0.2">
      <c r="A12" s="482" t="str">
        <f>'t2'!B6</f>
        <v>MD</v>
      </c>
      <c r="B12" s="1476" t="s">
        <v>296</v>
      </c>
      <c r="C12" s="490" t="str">
        <f>'t2'!A6</f>
        <v>MEDICI</v>
      </c>
      <c r="D12" s="503"/>
      <c r="E12" s="500"/>
      <c r="F12" s="500"/>
      <c r="G12" s="500"/>
      <c r="H12" s="500"/>
      <c r="I12" s="500"/>
      <c r="J12" s="500"/>
      <c r="K12" s="502"/>
      <c r="L12" s="501"/>
      <c r="M12" s="500"/>
      <c r="N12" s="500"/>
      <c r="O12" s="500"/>
      <c r="P12" s="500"/>
      <c r="Q12" s="500"/>
      <c r="R12" s="500"/>
      <c r="S12" s="502"/>
    </row>
    <row r="13" spans="1:19" ht="12" x14ac:dyDescent="0.2">
      <c r="A13" s="482" t="str">
        <f>'t2'!B7</f>
        <v>AP</v>
      </c>
      <c r="B13" s="1476"/>
      <c r="C13" s="490" t="str">
        <f>'t2'!A7</f>
        <v>PROFESSIONISTI</v>
      </c>
      <c r="D13" s="503"/>
      <c r="E13" s="500"/>
      <c r="F13" s="500"/>
      <c r="G13" s="500"/>
      <c r="H13" s="500"/>
      <c r="I13" s="500"/>
      <c r="J13" s="500"/>
      <c r="K13" s="502"/>
      <c r="L13" s="501"/>
      <c r="M13" s="500"/>
      <c r="N13" s="500"/>
      <c r="O13" s="500"/>
      <c r="P13" s="500"/>
      <c r="Q13" s="500"/>
      <c r="R13" s="500"/>
      <c r="S13" s="502"/>
    </row>
    <row r="14" spans="1:19" ht="24" x14ac:dyDescent="0.2">
      <c r="A14" s="482" t="str">
        <f>'t2'!B8</f>
        <v>EP</v>
      </c>
      <c r="B14" s="1476"/>
      <c r="C14" s="893" t="str">
        <f>'t2'!A8</f>
        <v>PERSONALE ELEVATE PROFESSIONALITA</v>
      </c>
      <c r="D14" s="503"/>
      <c r="E14" s="500"/>
      <c r="F14" s="500"/>
      <c r="G14" s="500"/>
      <c r="H14" s="500"/>
      <c r="I14" s="500"/>
      <c r="J14" s="500"/>
      <c r="K14" s="502"/>
      <c r="L14" s="501"/>
      <c r="M14" s="500"/>
      <c r="N14" s="500"/>
      <c r="O14" s="500"/>
      <c r="P14" s="500"/>
      <c r="Q14" s="500"/>
      <c r="R14" s="500"/>
      <c r="S14" s="502"/>
    </row>
    <row r="15" spans="1:19" ht="12" x14ac:dyDescent="0.2">
      <c r="A15" s="482" t="str">
        <f>'t2'!B9</f>
        <v>FU</v>
      </c>
      <c r="B15" s="1476"/>
      <c r="C15" s="490" t="str">
        <f>'t2'!A9</f>
        <v>FUNZIONARI</v>
      </c>
      <c r="D15" s="503"/>
      <c r="E15" s="500"/>
      <c r="F15" s="500"/>
      <c r="G15" s="500"/>
      <c r="H15" s="500"/>
      <c r="I15" s="500"/>
      <c r="J15" s="500"/>
      <c r="K15" s="502"/>
      <c r="L15" s="501"/>
      <c r="M15" s="500"/>
      <c r="N15" s="500"/>
      <c r="O15" s="500"/>
      <c r="P15" s="500"/>
      <c r="Q15" s="500"/>
      <c r="R15" s="500"/>
      <c r="S15" s="502"/>
    </row>
    <row r="16" spans="1:19" ht="12" x14ac:dyDescent="0.2">
      <c r="A16" s="482" t="str">
        <f>'t2'!B10</f>
        <v>AT</v>
      </c>
      <c r="B16" s="1476"/>
      <c r="C16" s="490" t="str">
        <f>'t2'!A10</f>
        <v>ASSISTENTI</v>
      </c>
      <c r="D16" s="503"/>
      <c r="E16" s="500"/>
      <c r="F16" s="500"/>
      <c r="G16" s="500"/>
      <c r="H16" s="500"/>
      <c r="I16" s="500"/>
      <c r="J16" s="500"/>
      <c r="K16" s="502"/>
      <c r="L16" s="501"/>
      <c r="M16" s="500"/>
      <c r="N16" s="500"/>
      <c r="O16" s="500"/>
      <c r="P16" s="500"/>
      <c r="Q16" s="500"/>
      <c r="R16" s="500"/>
      <c r="S16" s="502"/>
    </row>
    <row r="17" spans="1:20" ht="12" x14ac:dyDescent="0.2">
      <c r="A17" s="482" t="str">
        <f>'t2'!B11</f>
        <v>OP</v>
      </c>
      <c r="B17" s="1476"/>
      <c r="C17" s="490" t="str">
        <f>'t2'!A11</f>
        <v>OPERATORI</v>
      </c>
      <c r="D17" s="503"/>
      <c r="E17" s="500"/>
      <c r="F17" s="500"/>
      <c r="G17" s="500"/>
      <c r="H17" s="500"/>
      <c r="I17" s="500"/>
      <c r="J17" s="500"/>
      <c r="K17" s="502"/>
      <c r="L17" s="501"/>
      <c r="M17" s="500"/>
      <c r="N17" s="500"/>
      <c r="O17" s="500"/>
      <c r="P17" s="500"/>
      <c r="Q17" s="500"/>
      <c r="R17" s="500"/>
      <c r="S17" s="502"/>
    </row>
    <row r="18" spans="1:20" ht="12" x14ac:dyDescent="0.2">
      <c r="A18" s="482" t="str">
        <f>'t2'!B12</f>
        <v>PC</v>
      </c>
      <c r="B18" s="1476"/>
      <c r="C18" s="490" t="str">
        <f>'t2'!A12</f>
        <v>PERSONALE CONTRATTISTA</v>
      </c>
      <c r="D18" s="503"/>
      <c r="E18" s="500"/>
      <c r="F18" s="500"/>
      <c r="G18" s="500"/>
      <c r="H18" s="500"/>
      <c r="I18" s="500"/>
      <c r="J18" s="500"/>
      <c r="K18" s="502"/>
      <c r="L18" s="501"/>
      <c r="M18" s="500"/>
      <c r="N18" s="500"/>
      <c r="O18" s="500"/>
      <c r="P18" s="500"/>
      <c r="Q18" s="500"/>
      <c r="R18" s="500"/>
      <c r="S18" s="502"/>
    </row>
    <row r="19" spans="1:20" ht="13.5" x14ac:dyDescent="0.3">
      <c r="B19" s="1476"/>
      <c r="C19" s="491" t="s">
        <v>297</v>
      </c>
      <c r="D19" s="504">
        <f t="shared" ref="D19:K19" si="0">SUM(D12:D18)</f>
        <v>0</v>
      </c>
      <c r="E19" s="505">
        <f t="shared" si="0"/>
        <v>0</v>
      </c>
      <c r="F19" s="505">
        <f t="shared" si="0"/>
        <v>0</v>
      </c>
      <c r="G19" s="505">
        <f t="shared" si="0"/>
        <v>0</v>
      </c>
      <c r="H19" s="505">
        <f t="shared" si="0"/>
        <v>0</v>
      </c>
      <c r="I19" s="505">
        <f t="shared" si="0"/>
        <v>0</v>
      </c>
      <c r="J19" s="505">
        <f t="shared" si="0"/>
        <v>0</v>
      </c>
      <c r="K19" s="506">
        <f t="shared" si="0"/>
        <v>0</v>
      </c>
      <c r="L19" s="504"/>
      <c r="M19" s="505"/>
      <c r="N19" s="505"/>
      <c r="O19" s="505"/>
      <c r="P19" s="505"/>
      <c r="Q19" s="505"/>
      <c r="R19" s="505"/>
      <c r="S19" s="506"/>
      <c r="T19" s="484">
        <f>SUM(D19:S19,D10:S10)</f>
        <v>0</v>
      </c>
    </row>
    <row r="27" spans="1:20" ht="16.5" customHeight="1" x14ac:dyDescent="0.15"/>
    <row r="28" spans="1:20" ht="12.75" x14ac:dyDescent="0.2">
      <c r="F28" s="485"/>
      <c r="G28" s="485"/>
    </row>
    <row r="29" spans="1:20" ht="12.75" x14ac:dyDescent="0.2">
      <c r="F29" s="485"/>
      <c r="G29" s="485"/>
    </row>
    <row r="31" spans="1:20" ht="12.75" x14ac:dyDescent="0.2">
      <c r="F31" s="485"/>
      <c r="G31" s="485"/>
    </row>
    <row r="33" spans="6:7" ht="12.75" x14ac:dyDescent="0.2">
      <c r="F33" s="485"/>
      <c r="G33" s="485"/>
    </row>
  </sheetData>
  <sheetProtection algorithmName="SHA-512" hashValue="VEDe4Lau0sn/aCR00I3QvVlIHFnEu348BuC0bSEOrxj8MWHKiR6oS22QPcqyjve0rq5p6mEGUtjLL0iCiKI80A==" saltValue="+MhjWG5Acfka0usUhFXU4A==" spinCount="100000" sheet="1" formatColumns="0" selectLockedCells="1"/>
  <mergeCells count="17">
    <mergeCell ref="H8:I8"/>
    <mergeCell ref="B1:S1"/>
    <mergeCell ref="B6:C7"/>
    <mergeCell ref="D6:K7"/>
    <mergeCell ref="L6:S7"/>
    <mergeCell ref="B12:B19"/>
    <mergeCell ref="P8:Q8"/>
    <mergeCell ref="R8:S8"/>
    <mergeCell ref="B9:C9"/>
    <mergeCell ref="B10:C10"/>
    <mergeCell ref="J8:K8"/>
    <mergeCell ref="L8:M8"/>
    <mergeCell ref="N8:O8"/>
    <mergeCell ref="B11:S11"/>
    <mergeCell ref="B8:C8"/>
    <mergeCell ref="D8:E8"/>
    <mergeCell ref="F8:G8"/>
  </mergeCells>
  <phoneticPr fontId="0" type="noConversion"/>
  <dataValidations count="1">
    <dataValidation type="whole" allowBlank="1" showInputMessage="1" showErrorMessage="1" errorTitle="ERRORE" error="INSERIRE SOLO NUMERI INTERI COMPRESI TRA 0 E 9999999" sqref="D10:S10 D12:S18" xr:uid="{00000000-0002-0000-0500-000000000000}">
      <formula1>0</formula1>
      <formula2>9999999</formula2>
    </dataValidation>
  </dataValidations>
  <pageMargins left="0.39" right="0.4" top="1" bottom="1" header="0.5" footer="0.5"/>
  <pageSetup paperSize="9" orientation="landscape" horizontalDpi="0" verticalDpi="0"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oglio10"/>
  <dimension ref="A1:V27"/>
  <sheetViews>
    <sheetView showGridLines="0" workbookViewId="0">
      <pane xSplit="2" ySplit="5" topLeftCell="C6" activePane="bottomRight" state="frozen"/>
      <selection activeCell="C4" sqref="C4:C6"/>
      <selection pane="topRight" activeCell="C4" sqref="C4:C6"/>
      <selection pane="bottomLeft" activeCell="C4" sqref="C4:C6"/>
      <selection pane="bottomRight" activeCell="C6" sqref="C6"/>
    </sheetView>
  </sheetViews>
  <sheetFormatPr defaultColWidth="10.6640625" defaultRowHeight="11.25" x14ac:dyDescent="0.2"/>
  <cols>
    <col min="1" max="1" width="41.6640625" style="80" customWidth="1"/>
    <col min="2" max="2" width="10.6640625" style="89" customWidth="1"/>
    <col min="3" max="14" width="11.5" style="80" customWidth="1"/>
    <col min="15" max="16" width="11.5" customWidth="1"/>
    <col min="17" max="17" width="9.1640625" style="80" hidden="1" customWidth="1"/>
    <col min="18" max="18" width="9.1640625" style="80" customWidth="1"/>
    <col min="19" max="19" width="6.6640625" style="80" customWidth="1"/>
    <col min="20" max="23" width="10.6640625" style="80" customWidth="1"/>
    <col min="24" max="16384" width="10.6640625" style="80"/>
  </cols>
  <sheetData>
    <row r="1" spans="1:18" s="3" customFormat="1" ht="43.5" customHeight="1" x14ac:dyDescent="0.2">
      <c r="A1" s="1447" t="str">
        <f>'t1'!A1</f>
        <v>ENTI PUBBLICI NON ECONOMICI - anno 2024</v>
      </c>
      <c r="B1" s="1447"/>
      <c r="C1" s="1447"/>
      <c r="D1" s="1447"/>
      <c r="E1" s="1447"/>
      <c r="F1" s="1447"/>
      <c r="G1" s="1447"/>
      <c r="H1" s="1447"/>
      <c r="I1" s="1447"/>
      <c r="J1" s="1447"/>
      <c r="K1" s="1447"/>
      <c r="L1" s="1447"/>
      <c r="N1" s="285"/>
      <c r="O1"/>
      <c r="P1"/>
      <c r="Q1"/>
    </row>
    <row r="2" spans="1:18" s="3" customFormat="1" ht="30" customHeight="1" thickBot="1" x14ac:dyDescent="0.25">
      <c r="A2" s="284"/>
      <c r="B2" s="2"/>
      <c r="F2" s="1489"/>
      <c r="G2" s="1489"/>
      <c r="H2" s="1489"/>
      <c r="I2" s="1489"/>
      <c r="J2" s="1489"/>
      <c r="K2" s="1489"/>
      <c r="L2" s="1489"/>
      <c r="M2" s="1489"/>
      <c r="N2" s="1489"/>
      <c r="O2"/>
      <c r="P2"/>
      <c r="Q2"/>
    </row>
    <row r="3" spans="1:18" ht="18.75" customHeight="1" thickBot="1" x14ac:dyDescent="0.25">
      <c r="A3" s="81"/>
      <c r="B3" s="82"/>
      <c r="C3" s="121" t="s">
        <v>126</v>
      </c>
      <c r="D3" s="122"/>
      <c r="E3" s="122"/>
      <c r="F3" s="123"/>
      <c r="G3" s="122"/>
      <c r="H3" s="122"/>
      <c r="I3" s="122"/>
      <c r="J3" s="122"/>
      <c r="K3" s="1493" t="s">
        <v>127</v>
      </c>
      <c r="L3" s="1494"/>
      <c r="M3" s="1494"/>
      <c r="N3" s="1494"/>
      <c r="O3" s="1494"/>
      <c r="P3" s="1495"/>
      <c r="Q3"/>
      <c r="R3"/>
    </row>
    <row r="4" spans="1:18" ht="21.75" customHeight="1" thickTop="1" x14ac:dyDescent="0.2">
      <c r="A4" s="258" t="s">
        <v>124</v>
      </c>
      <c r="B4" s="259" t="s">
        <v>57</v>
      </c>
      <c r="C4" s="124" t="s">
        <v>170</v>
      </c>
      <c r="D4" s="125"/>
      <c r="E4" s="1490" t="s">
        <v>86</v>
      </c>
      <c r="F4" s="1491"/>
      <c r="G4" s="1492" t="s">
        <v>49</v>
      </c>
      <c r="H4" s="1492"/>
      <c r="I4" s="1496" t="s">
        <v>708</v>
      </c>
      <c r="J4" s="1497"/>
      <c r="K4" s="124" t="s">
        <v>170</v>
      </c>
      <c r="L4" s="126"/>
      <c r="M4" s="127" t="s">
        <v>86</v>
      </c>
      <c r="N4" s="126"/>
      <c r="O4" s="127" t="s">
        <v>49</v>
      </c>
      <c r="P4" s="126"/>
      <c r="Q4"/>
      <c r="R4"/>
    </row>
    <row r="5" spans="1:18" ht="12" thickBot="1" x14ac:dyDescent="0.25">
      <c r="A5" s="715" t="s">
        <v>593</v>
      </c>
      <c r="B5" s="260"/>
      <c r="C5" s="128" t="s">
        <v>58</v>
      </c>
      <c r="D5" s="129" t="s">
        <v>59</v>
      </c>
      <c r="E5" s="130" t="s">
        <v>58</v>
      </c>
      <c r="F5" s="129" t="s">
        <v>59</v>
      </c>
      <c r="G5" s="130" t="s">
        <v>58</v>
      </c>
      <c r="H5" s="129" t="s">
        <v>59</v>
      </c>
      <c r="I5" s="130" t="s">
        <v>58</v>
      </c>
      <c r="J5" s="129" t="s">
        <v>59</v>
      </c>
      <c r="K5" s="131" t="s">
        <v>58</v>
      </c>
      <c r="L5" s="132" t="s">
        <v>59</v>
      </c>
      <c r="M5" s="133" t="s">
        <v>58</v>
      </c>
      <c r="N5" s="132" t="s">
        <v>59</v>
      </c>
      <c r="O5" s="133" t="s">
        <v>58</v>
      </c>
      <c r="P5" s="132" t="s">
        <v>59</v>
      </c>
      <c r="Q5"/>
      <c r="R5"/>
    </row>
    <row r="6" spans="1:18" ht="12.75" customHeight="1" thickTop="1" x14ac:dyDescent="0.2">
      <c r="A6" s="17" t="str">
        <f>'t1'!A6</f>
        <v>DIRETTORE GENERALE</v>
      </c>
      <c r="B6" s="261" t="str">
        <f>'t1'!B6</f>
        <v>0D0097</v>
      </c>
      <c r="C6" s="202"/>
      <c r="D6" s="203"/>
      <c r="E6" s="204"/>
      <c r="F6" s="455"/>
      <c r="G6" s="457"/>
      <c r="H6" s="203"/>
      <c r="I6" s="457"/>
      <c r="J6" s="203"/>
      <c r="K6" s="205"/>
      <c r="L6" s="206"/>
      <c r="M6" s="207"/>
      <c r="N6" s="507"/>
      <c r="O6" s="508"/>
      <c r="P6" s="493"/>
      <c r="Q6" s="706">
        <f>'t1'!M6</f>
        <v>0</v>
      </c>
      <c r="R6"/>
    </row>
    <row r="7" spans="1:18" ht="12.75" customHeight="1" x14ac:dyDescent="0.2">
      <c r="A7" s="16" t="str">
        <f>'t1'!A7</f>
        <v>DIRIGENTE I FASCIA</v>
      </c>
      <c r="B7" s="262" t="str">
        <f>'t1'!B7</f>
        <v>0D0077</v>
      </c>
      <c r="C7" s="202"/>
      <c r="D7" s="203"/>
      <c r="E7" s="204"/>
      <c r="F7" s="455"/>
      <c r="G7" s="211"/>
      <c r="H7" s="203"/>
      <c r="I7" s="211"/>
      <c r="J7" s="203"/>
      <c r="K7" s="205"/>
      <c r="L7" s="206"/>
      <c r="M7" s="207"/>
      <c r="N7" s="509"/>
      <c r="O7" s="510"/>
      <c r="P7" s="494"/>
      <c r="Q7" s="706">
        <f>'t1'!M7</f>
        <v>0</v>
      </c>
      <c r="R7"/>
    </row>
    <row r="8" spans="1:18" ht="12.75" customHeight="1" x14ac:dyDescent="0.2">
      <c r="A8" s="16" t="str">
        <f>'t1'!A8</f>
        <v>DIRIGENTE I FASCIA A TEMPO DETERM.</v>
      </c>
      <c r="B8" s="262" t="str">
        <f>'t1'!B8</f>
        <v>0D0078</v>
      </c>
      <c r="C8" s="202"/>
      <c r="D8" s="203"/>
      <c r="E8" s="204"/>
      <c r="F8" s="455"/>
      <c r="G8" s="211"/>
      <c r="H8" s="203"/>
      <c r="I8" s="211"/>
      <c r="J8" s="203"/>
      <c r="K8" s="205"/>
      <c r="L8" s="206"/>
      <c r="M8" s="207"/>
      <c r="N8" s="509"/>
      <c r="O8" s="510"/>
      <c r="P8" s="494"/>
      <c r="Q8" s="706">
        <f>'t1'!M8</f>
        <v>0</v>
      </c>
      <c r="R8"/>
    </row>
    <row r="9" spans="1:18" ht="12.75" customHeight="1" x14ac:dyDescent="0.2">
      <c r="A9" s="16" t="str">
        <f>'t1'!A9</f>
        <v>DIRIGENTE II FASCIA</v>
      </c>
      <c r="B9" s="262" t="str">
        <f>'t1'!B9</f>
        <v>0D0079</v>
      </c>
      <c r="C9" s="202"/>
      <c r="D9" s="203"/>
      <c r="E9" s="204"/>
      <c r="F9" s="455"/>
      <c r="G9" s="211"/>
      <c r="H9" s="203"/>
      <c r="I9" s="211"/>
      <c r="J9" s="203"/>
      <c r="K9" s="205"/>
      <c r="L9" s="206"/>
      <c r="M9" s="207"/>
      <c r="N9" s="509"/>
      <c r="O9" s="510"/>
      <c r="P9" s="494"/>
      <c r="Q9" s="706">
        <f>'t1'!M9</f>
        <v>0</v>
      </c>
      <c r="R9"/>
    </row>
    <row r="10" spans="1:18" ht="12.75" customHeight="1" x14ac:dyDescent="0.2">
      <c r="A10" s="16" t="str">
        <f>'t1'!A10</f>
        <v>DIRIGENTE II FASCIA A TEMPO DETERM.</v>
      </c>
      <c r="B10" s="262" t="str">
        <f>'t1'!B10</f>
        <v>0D0080</v>
      </c>
      <c r="C10" s="202"/>
      <c r="D10" s="203"/>
      <c r="E10" s="204"/>
      <c r="F10" s="455"/>
      <c r="G10" s="211"/>
      <c r="H10" s="203"/>
      <c r="I10" s="211"/>
      <c r="J10" s="203"/>
      <c r="K10" s="205"/>
      <c r="L10" s="206"/>
      <c r="M10" s="207"/>
      <c r="N10" s="509"/>
      <c r="O10" s="510"/>
      <c r="P10" s="494"/>
      <c r="Q10" s="706">
        <f>'t1'!M10</f>
        <v>0</v>
      </c>
      <c r="R10"/>
    </row>
    <row r="11" spans="1:18" ht="12.75" customHeight="1" x14ac:dyDescent="0.2">
      <c r="A11" s="16" t="str">
        <f>'t1'!A11</f>
        <v>MEDICO II FASCIA T.P.</v>
      </c>
      <c r="B11" s="262" t="str">
        <f>'t1'!B11</f>
        <v>0D0584</v>
      </c>
      <c r="C11" s="202"/>
      <c r="D11" s="203"/>
      <c r="E11" s="204"/>
      <c r="F11" s="455"/>
      <c r="G11" s="211"/>
      <c r="H11" s="203"/>
      <c r="I11" s="211"/>
      <c r="J11" s="203"/>
      <c r="K11" s="205"/>
      <c r="L11" s="206"/>
      <c r="M11" s="207"/>
      <c r="N11" s="509"/>
      <c r="O11" s="510"/>
      <c r="P11" s="494"/>
      <c r="Q11" s="706">
        <f>'t1'!M11</f>
        <v>0</v>
      </c>
      <c r="R11"/>
    </row>
    <row r="12" spans="1:18" ht="12.75" customHeight="1" x14ac:dyDescent="0.2">
      <c r="A12" s="16" t="str">
        <f>'t1'!A12</f>
        <v>MEDICO I FASCIA T.P.</v>
      </c>
      <c r="B12" s="262" t="str">
        <f>'t1'!B12</f>
        <v>0D0585</v>
      </c>
      <c r="C12" s="202"/>
      <c r="D12" s="203"/>
      <c r="E12" s="204"/>
      <c r="F12" s="455"/>
      <c r="G12" s="211"/>
      <c r="H12" s="203"/>
      <c r="I12" s="211"/>
      <c r="J12" s="203"/>
      <c r="K12" s="205"/>
      <c r="L12" s="206"/>
      <c r="M12" s="207"/>
      <c r="N12" s="509"/>
      <c r="O12" s="510"/>
      <c r="P12" s="494"/>
      <c r="Q12" s="706">
        <f>'t1'!M12</f>
        <v>0</v>
      </c>
      <c r="R12"/>
    </row>
    <row r="13" spans="1:18" ht="12.75" customHeight="1" x14ac:dyDescent="0.2">
      <c r="A13" s="16" t="str">
        <f>'t1'!A13</f>
        <v>MEDICO II FASCIA T.D.</v>
      </c>
      <c r="B13" s="262" t="str">
        <f>'t1'!B13</f>
        <v>0D0586</v>
      </c>
      <c r="C13" s="202"/>
      <c r="D13" s="203"/>
      <c r="E13" s="204"/>
      <c r="F13" s="455"/>
      <c r="G13" s="211"/>
      <c r="H13" s="203"/>
      <c r="I13" s="211"/>
      <c r="J13" s="203"/>
      <c r="K13" s="205"/>
      <c r="L13" s="206"/>
      <c r="M13" s="207"/>
      <c r="N13" s="509"/>
      <c r="O13" s="510"/>
      <c r="P13" s="494"/>
      <c r="Q13" s="706">
        <f>'t1'!M13</f>
        <v>0</v>
      </c>
      <c r="R13"/>
    </row>
    <row r="14" spans="1:18" ht="12.75" customHeight="1" x14ac:dyDescent="0.2">
      <c r="A14" s="16" t="str">
        <f>'t1'!A14</f>
        <v>MEDICO I FASCIA T.D.</v>
      </c>
      <c r="B14" s="262" t="str">
        <f>'t1'!B14</f>
        <v>0D0496</v>
      </c>
      <c r="C14" s="202"/>
      <c r="D14" s="203"/>
      <c r="E14" s="204"/>
      <c r="F14" s="455"/>
      <c r="G14" s="211"/>
      <c r="H14" s="203"/>
      <c r="I14" s="211"/>
      <c r="J14" s="203"/>
      <c r="K14" s="205"/>
      <c r="L14" s="206"/>
      <c r="M14" s="207"/>
      <c r="N14" s="509"/>
      <c r="O14" s="510"/>
      <c r="P14" s="494"/>
      <c r="Q14" s="706">
        <f>'t1'!M14</f>
        <v>0</v>
      </c>
      <c r="R14"/>
    </row>
    <row r="15" spans="1:18" ht="12.75" customHeight="1" x14ac:dyDescent="0.2">
      <c r="A15" s="16" t="str">
        <f>'t1'!A15</f>
        <v>PROFESSIONISTI II LIVELLO</v>
      </c>
      <c r="B15" s="262" t="str">
        <f>'t1'!B15</f>
        <v>0D0PR2</v>
      </c>
      <c r="C15" s="202"/>
      <c r="D15" s="203"/>
      <c r="E15" s="204"/>
      <c r="F15" s="455"/>
      <c r="G15" s="211"/>
      <c r="H15" s="203"/>
      <c r="I15" s="211"/>
      <c r="J15" s="203"/>
      <c r="K15" s="205"/>
      <c r="L15" s="206"/>
      <c r="M15" s="207"/>
      <c r="N15" s="509"/>
      <c r="O15" s="510"/>
      <c r="P15" s="494"/>
      <c r="Q15" s="706">
        <f>'t1'!M15</f>
        <v>0</v>
      </c>
      <c r="R15"/>
    </row>
    <row r="16" spans="1:18" ht="12.75" customHeight="1" x14ac:dyDescent="0.2">
      <c r="A16" s="16" t="str">
        <f>'t1'!A16</f>
        <v>PROFESSIONISTI I LIVELLO</v>
      </c>
      <c r="B16" s="262" t="str">
        <f>'t1'!B16</f>
        <v>0D0PR1</v>
      </c>
      <c r="C16" s="202"/>
      <c r="D16" s="203"/>
      <c r="E16" s="204"/>
      <c r="F16" s="455"/>
      <c r="G16" s="211"/>
      <c r="H16" s="203"/>
      <c r="I16" s="211"/>
      <c r="J16" s="203"/>
      <c r="K16" s="205"/>
      <c r="L16" s="206"/>
      <c r="M16" s="207"/>
      <c r="N16" s="509"/>
      <c r="O16" s="510"/>
      <c r="P16" s="494"/>
      <c r="Q16" s="706">
        <f>'t1'!M16</f>
        <v>0</v>
      </c>
      <c r="R16"/>
    </row>
    <row r="17" spans="1:22" ht="12.75" customHeight="1" x14ac:dyDescent="0.2">
      <c r="A17" s="16" t="str">
        <f>'t1'!A17</f>
        <v>ELEVATE PROFESSIONALITA'</v>
      </c>
      <c r="B17" s="262" t="str">
        <f>'t1'!B17</f>
        <v>0EP981</v>
      </c>
      <c r="C17" s="202"/>
      <c r="D17" s="203"/>
      <c r="E17" s="204"/>
      <c r="F17" s="455"/>
      <c r="G17" s="211"/>
      <c r="H17" s="203"/>
      <c r="I17" s="211"/>
      <c r="J17" s="203"/>
      <c r="K17" s="205"/>
      <c r="L17" s="206"/>
      <c r="M17" s="207"/>
      <c r="N17" s="509"/>
      <c r="O17" s="510"/>
      <c r="P17" s="494"/>
      <c r="Q17" s="706">
        <f>'t1'!M17</f>
        <v>0</v>
      </c>
      <c r="R17"/>
    </row>
    <row r="18" spans="1:22" ht="12.75" customHeight="1" x14ac:dyDescent="0.2">
      <c r="A18" s="16" t="str">
        <f>'t1'!A18</f>
        <v>FUNZIONARI</v>
      </c>
      <c r="B18" s="262" t="str">
        <f>'t1'!B18</f>
        <v>0FZ000</v>
      </c>
      <c r="C18" s="202"/>
      <c r="D18" s="203"/>
      <c r="E18" s="204"/>
      <c r="F18" s="455"/>
      <c r="G18" s="211"/>
      <c r="H18" s="203"/>
      <c r="I18" s="211"/>
      <c r="J18" s="203"/>
      <c r="K18" s="205"/>
      <c r="L18" s="206"/>
      <c r="M18" s="207"/>
      <c r="N18" s="509"/>
      <c r="O18" s="510"/>
      <c r="P18" s="494"/>
      <c r="Q18" s="706">
        <f>'t1'!M18</f>
        <v>0</v>
      </c>
      <c r="R18"/>
    </row>
    <row r="19" spans="1:22" ht="12.75" customHeight="1" x14ac:dyDescent="0.2">
      <c r="A19" s="16" t="str">
        <f>'t1'!A19</f>
        <v>ASSISTENTI</v>
      </c>
      <c r="B19" s="262" t="str">
        <f>'t1'!B19</f>
        <v>0AS000</v>
      </c>
      <c r="C19" s="202"/>
      <c r="D19" s="203"/>
      <c r="E19" s="204"/>
      <c r="F19" s="455"/>
      <c r="G19" s="211"/>
      <c r="H19" s="203"/>
      <c r="I19" s="211"/>
      <c r="J19" s="203"/>
      <c r="K19" s="205"/>
      <c r="L19" s="206"/>
      <c r="M19" s="207"/>
      <c r="N19" s="509"/>
      <c r="O19" s="510"/>
      <c r="P19" s="494"/>
      <c r="Q19" s="706">
        <f>'t1'!M19</f>
        <v>1</v>
      </c>
      <c r="R19"/>
    </row>
    <row r="20" spans="1:22" ht="12.75" customHeight="1" x14ac:dyDescent="0.2">
      <c r="A20" s="16" t="str">
        <f>'t1'!A20</f>
        <v>OPERATORI</v>
      </c>
      <c r="B20" s="262" t="str">
        <f>'t1'!B20</f>
        <v>0OP000</v>
      </c>
      <c r="C20" s="202"/>
      <c r="D20" s="203"/>
      <c r="E20" s="204"/>
      <c r="F20" s="455"/>
      <c r="G20" s="211"/>
      <c r="H20" s="203"/>
      <c r="I20" s="211"/>
      <c r="J20" s="203"/>
      <c r="K20" s="205"/>
      <c r="L20" s="206"/>
      <c r="M20" s="207"/>
      <c r="N20" s="509"/>
      <c r="O20" s="510"/>
      <c r="P20" s="494"/>
      <c r="Q20" s="706">
        <f>'t1'!M20</f>
        <v>0</v>
      </c>
      <c r="R20"/>
    </row>
    <row r="21" spans="1:22" ht="12.75" customHeight="1" thickBot="1" x14ac:dyDescent="0.25">
      <c r="A21" s="16" t="str">
        <f>'t1'!A21</f>
        <v>CONTRATTISTI</v>
      </c>
      <c r="B21" s="262" t="str">
        <f>'t1'!B21</f>
        <v>000061</v>
      </c>
      <c r="C21" s="202"/>
      <c r="D21" s="203"/>
      <c r="E21" s="204"/>
      <c r="F21" s="455"/>
      <c r="G21" s="211"/>
      <c r="H21" s="203"/>
      <c r="I21" s="211"/>
      <c r="J21" s="203"/>
      <c r="K21" s="205"/>
      <c r="L21" s="206"/>
      <c r="M21" s="207"/>
      <c r="N21" s="509"/>
      <c r="O21" s="510"/>
      <c r="P21" s="494"/>
      <c r="Q21" s="706">
        <f>'t1'!M21</f>
        <v>0</v>
      </c>
      <c r="R21"/>
    </row>
    <row r="22" spans="1:22" ht="15.75" customHeight="1" thickTop="1" thickBot="1" x14ac:dyDescent="0.25">
      <c r="A22" s="87" t="s">
        <v>60</v>
      </c>
      <c r="B22" s="146"/>
      <c r="C22" s="383">
        <f t="shared" ref="C22:P22" si="0">SUM(C6:C21)</f>
        <v>0</v>
      </c>
      <c r="D22" s="384">
        <f t="shared" si="0"/>
        <v>0</v>
      </c>
      <c r="E22" s="385">
        <f t="shared" si="0"/>
        <v>0</v>
      </c>
      <c r="F22" s="456">
        <f t="shared" si="0"/>
        <v>0</v>
      </c>
      <c r="G22" s="385">
        <f t="shared" si="0"/>
        <v>0</v>
      </c>
      <c r="H22" s="454">
        <f t="shared" si="0"/>
        <v>0</v>
      </c>
      <c r="I22" s="385">
        <f t="shared" si="0"/>
        <v>0</v>
      </c>
      <c r="J22" s="454">
        <f t="shared" si="0"/>
        <v>0</v>
      </c>
      <c r="K22" s="383">
        <f t="shared" si="0"/>
        <v>0</v>
      </c>
      <c r="L22" s="384">
        <f t="shared" si="0"/>
        <v>0</v>
      </c>
      <c r="M22" s="385">
        <f t="shared" si="0"/>
        <v>0</v>
      </c>
      <c r="N22" s="384">
        <f t="shared" si="0"/>
        <v>0</v>
      </c>
      <c r="O22" s="511">
        <f t="shared" si="0"/>
        <v>0</v>
      </c>
      <c r="P22" s="467">
        <f t="shared" si="0"/>
        <v>0</v>
      </c>
      <c r="Q22"/>
      <c r="R22"/>
    </row>
    <row r="23" spans="1:22" x14ac:dyDescent="0.2">
      <c r="A23" s="18"/>
      <c r="B23" s="147"/>
      <c r="C23" s="3"/>
      <c r="D23" s="3"/>
      <c r="E23" s="3"/>
      <c r="F23" s="3"/>
      <c r="G23" s="3"/>
      <c r="H23" s="3"/>
      <c r="I23" s="3"/>
      <c r="J23" s="3"/>
      <c r="K23" s="3"/>
      <c r="L23" s="3"/>
      <c r="M23" s="3"/>
      <c r="N23" s="3"/>
    </row>
    <row r="24" spans="1:22" x14ac:dyDescent="0.2">
      <c r="A24" s="18" t="str">
        <f>'t1'!$A$23</f>
        <v>(a) personale a tempo indeterminato al quale viene applicato un contratto di lavoro di tipo privatistico (es.:tipografico,chimico,edile,metalmeccanico,portierato, ecc.)</v>
      </c>
      <c r="B24" s="147"/>
      <c r="C24" s="3"/>
      <c r="D24" s="149"/>
      <c r="E24" s="3"/>
      <c r="F24" s="3"/>
      <c r="G24" s="3"/>
      <c r="H24" s="3"/>
      <c r="I24" s="3"/>
      <c r="J24" s="3"/>
      <c r="K24" s="3"/>
      <c r="L24" s="3"/>
      <c r="M24" s="3"/>
      <c r="N24" s="3"/>
      <c r="Q24" s="3"/>
      <c r="R24" s="3"/>
      <c r="S24" s="3"/>
      <c r="T24" s="3"/>
      <c r="U24" s="3"/>
      <c r="V24" s="3"/>
    </row>
    <row r="25" spans="1:22" s="3" customFormat="1" x14ac:dyDescent="0.2">
      <c r="A25" s="18"/>
      <c r="B25" s="2"/>
    </row>
    <row r="26" spans="1:22" x14ac:dyDescent="0.2">
      <c r="A26" s="18" t="s">
        <v>227</v>
      </c>
      <c r="B26" s="148"/>
    </row>
    <row r="27" spans="1:22" x14ac:dyDescent="0.2">
      <c r="A27" s="69" t="s">
        <v>128</v>
      </c>
    </row>
  </sheetData>
  <sheetProtection algorithmName="SHA-512" hashValue="nmaGvOmmaveIwpjC9vgZsVoGoKqFikDDQzADIZ3nGm3rGzTGUOxAxQnlnoSK3PEyeitIlek4L20wFiVbis+BQw==" saltValue="p+jRI5gdfPsy3MMRedPAFQ==" spinCount="100000" sheet="1" formatColumns="0" selectLockedCells="1"/>
  <mergeCells count="6">
    <mergeCell ref="A1:L1"/>
    <mergeCell ref="F2:N2"/>
    <mergeCell ref="E4:F4"/>
    <mergeCell ref="G4:H4"/>
    <mergeCell ref="K3:P3"/>
    <mergeCell ref="I4:J4"/>
  </mergeCells>
  <phoneticPr fontId="30" type="noConversion"/>
  <conditionalFormatting sqref="A6:J21">
    <cfRule type="expression" dxfId="44" priority="5" stopIfTrue="1">
      <formula>$Q6&gt;0</formula>
    </cfRule>
  </conditionalFormatting>
  <printOptions horizontalCentered="1" verticalCentered="1"/>
  <pageMargins left="0" right="0" top="0.19685039370078741" bottom="0.15748031496062992" header="0.19685039370078741" footer="0.19685039370078741"/>
  <pageSetup paperSize="9" scale="75" orientation="landscape" horizontalDpi="300" verticalDpi="300"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8F7FA4-C6E1-495A-BA6C-92F914523D81}">
  <dimension ref="A1:X42"/>
  <sheetViews>
    <sheetView showGridLines="0" topLeftCell="A19" zoomScaleNormal="100" workbookViewId="0">
      <selection activeCell="D7" sqref="D7:E7"/>
    </sheetView>
  </sheetViews>
  <sheetFormatPr defaultColWidth="9.33203125" defaultRowHeight="11.25" x14ac:dyDescent="0.2"/>
  <cols>
    <col min="1" max="1" width="48.33203125" style="3" customWidth="1"/>
    <col min="2" max="2" width="9.1640625" style="2" customWidth="1"/>
    <col min="3" max="5" width="4.83203125" style="2" customWidth="1"/>
    <col min="6" max="18" width="4.83203125" style="3" customWidth="1"/>
    <col min="19" max="19" width="12" style="3" customWidth="1"/>
    <col min="20" max="42" width="3.83203125" style="3" customWidth="1"/>
    <col min="43" max="16384" width="9.33203125" style="3"/>
  </cols>
  <sheetData>
    <row r="1" spans="1:24" ht="43.5" customHeight="1" x14ac:dyDescent="0.2">
      <c r="A1" s="1447" t="str">
        <f>'t1'!A1</f>
        <v>ENTI PUBBLICI NON ECONOMICI - anno 2024</v>
      </c>
      <c r="B1" s="1447"/>
      <c r="C1" s="1447"/>
      <c r="D1" s="1447"/>
      <c r="E1" s="1447"/>
      <c r="F1" s="1447"/>
      <c r="G1" s="1447"/>
      <c r="H1" s="1447"/>
      <c r="I1" s="1447"/>
      <c r="J1" s="1447"/>
      <c r="K1" s="1447"/>
      <c r="L1" s="1447"/>
      <c r="M1" s="1447"/>
      <c r="N1" s="1447"/>
      <c r="O1" s="1447"/>
      <c r="P1" s="1447"/>
      <c r="Q1" s="1447"/>
      <c r="R1" s="1447"/>
      <c r="S1" s="608"/>
    </row>
    <row r="2" spans="1:24" ht="43.9" customHeight="1" x14ac:dyDescent="0.2">
      <c r="A2" s="1"/>
      <c r="S2" s="512"/>
    </row>
    <row r="3" spans="1:24" ht="15" customHeight="1" thickBot="1" x14ac:dyDescent="0.25">
      <c r="A3" s="1"/>
      <c r="S3" s="512"/>
    </row>
    <row r="4" spans="1:24" ht="18" customHeight="1" thickBot="1" x14ac:dyDescent="0.25">
      <c r="A4" s="1334" t="s">
        <v>1076</v>
      </c>
      <c r="B4" s="1333"/>
      <c r="C4" s="1333"/>
      <c r="D4" s="1333"/>
      <c r="E4" s="1333"/>
      <c r="F4" s="1332"/>
      <c r="G4" s="1332"/>
      <c r="H4" s="1332"/>
      <c r="I4" s="1332"/>
      <c r="J4" s="1332"/>
      <c r="K4" s="1332"/>
      <c r="L4" s="1332"/>
      <c r="M4" s="1332"/>
      <c r="N4" s="1332"/>
      <c r="O4" s="1332"/>
      <c r="P4" s="1332"/>
      <c r="Q4" s="1332"/>
      <c r="R4" s="1332"/>
      <c r="S4" s="1331"/>
      <c r="V4" s="512"/>
      <c r="W4" s="512"/>
      <c r="X4" s="512"/>
    </row>
    <row r="5" spans="1:24" ht="12" customHeight="1" x14ac:dyDescent="0.2">
      <c r="A5" s="606"/>
      <c r="B5" s="3"/>
      <c r="C5" s="3"/>
      <c r="D5" s="3"/>
      <c r="E5" s="3"/>
      <c r="S5" s="1330"/>
      <c r="V5" s="512"/>
      <c r="W5" s="512"/>
      <c r="X5" s="512"/>
    </row>
    <row r="6" spans="1:24" ht="12" hidden="1" customHeight="1" x14ac:dyDescent="0.2">
      <c r="A6" s="1345" t="str">
        <f>'t2'!A8</f>
        <v>PERSONALE ELEVATE PROFESSIONALITA</v>
      </c>
      <c r="B6" s="1346" t="str">
        <f>'t2'!B8</f>
        <v>EP</v>
      </c>
      <c r="C6" s="2" t="s">
        <v>1087</v>
      </c>
      <c r="D6" s="1502"/>
      <c r="E6" s="1502"/>
      <c r="S6" s="1330"/>
      <c r="V6" s="512"/>
      <c r="W6" s="512"/>
      <c r="X6" s="512"/>
    </row>
    <row r="7" spans="1:24" ht="12" customHeight="1" x14ac:dyDescent="0.2">
      <c r="A7" s="1345" t="str">
        <f>'t2'!A9</f>
        <v>FUNZIONARI</v>
      </c>
      <c r="B7" s="1346" t="str">
        <f>'t2'!B9</f>
        <v>FU</v>
      </c>
      <c r="C7" s="2" t="s">
        <v>1087</v>
      </c>
      <c r="D7" s="1501"/>
      <c r="E7" s="1501"/>
      <c r="S7" s="1330"/>
      <c r="V7" s="512"/>
      <c r="W7" s="512"/>
      <c r="X7" s="512"/>
    </row>
    <row r="8" spans="1:24" ht="12" customHeight="1" x14ac:dyDescent="0.2">
      <c r="A8" s="1345" t="str">
        <f>'t2'!A10</f>
        <v>ASSISTENTI</v>
      </c>
      <c r="B8" s="1346" t="str">
        <f>'t2'!B10</f>
        <v>AT</v>
      </c>
      <c r="C8" s="2" t="s">
        <v>1087</v>
      </c>
      <c r="D8" s="1501"/>
      <c r="E8" s="1501"/>
      <c r="S8" s="1330"/>
      <c r="V8" s="512"/>
      <c r="W8" s="512"/>
      <c r="X8" s="512"/>
    </row>
    <row r="9" spans="1:24" ht="12" customHeight="1" x14ac:dyDescent="0.2">
      <c r="A9" s="1345" t="str">
        <f>'t2'!A11</f>
        <v>OPERATORI</v>
      </c>
      <c r="B9" s="1346" t="str">
        <f>'t2'!B11</f>
        <v>OP</v>
      </c>
      <c r="C9" s="2" t="s">
        <v>1087</v>
      </c>
      <c r="D9" s="1501"/>
      <c r="E9" s="1501"/>
      <c r="S9" s="1330"/>
      <c r="V9" s="512"/>
      <c r="W9" s="512"/>
      <c r="X9" s="512"/>
    </row>
    <row r="10" spans="1:24" ht="12" customHeight="1" thickBot="1" x14ac:dyDescent="0.25">
      <c r="A10" s="1329"/>
      <c r="B10" s="1328"/>
      <c r="C10" s="1328"/>
      <c r="D10" s="1328"/>
      <c r="E10" s="1328"/>
      <c r="F10" s="754"/>
      <c r="G10" s="754"/>
      <c r="H10" s="754"/>
      <c r="I10" s="754"/>
      <c r="J10" s="754"/>
      <c r="K10" s="754"/>
      <c r="L10" s="754"/>
      <c r="M10" s="754"/>
      <c r="N10" s="754"/>
      <c r="O10" s="754"/>
      <c r="P10" s="754"/>
      <c r="Q10" s="754"/>
      <c r="R10" s="754"/>
      <c r="S10" s="1327"/>
      <c r="V10" s="512"/>
      <c r="W10" s="512"/>
      <c r="X10" s="512"/>
    </row>
    <row r="11" spans="1:24" ht="15" customHeight="1" thickBot="1" x14ac:dyDescent="0.25">
      <c r="A11" s="1"/>
      <c r="S11" s="512"/>
    </row>
    <row r="12" spans="1:24" ht="13.5" thickBot="1" x14ac:dyDescent="0.25">
      <c r="A12" s="283"/>
      <c r="B12" s="8"/>
      <c r="C12" s="1500" t="s">
        <v>56</v>
      </c>
      <c r="D12" s="1500"/>
      <c r="E12" s="1500"/>
      <c r="F12" s="1500"/>
      <c r="G12" s="1500"/>
      <c r="H12" s="1500"/>
      <c r="I12" s="1500"/>
      <c r="J12" s="1500"/>
      <c r="K12" s="1500"/>
      <c r="L12" s="1500"/>
      <c r="M12" s="1500"/>
      <c r="N12" s="1500"/>
      <c r="O12" s="1500"/>
      <c r="P12" s="1500"/>
      <c r="Q12" s="1500"/>
      <c r="R12" s="1500"/>
      <c r="S12" s="200"/>
    </row>
    <row r="13" spans="1:24" s="1246" customFormat="1" ht="16.5" customHeight="1" thickTop="1" x14ac:dyDescent="0.2">
      <c r="A13" s="1326"/>
      <c r="B13" s="1325"/>
      <c r="C13" s="1498" t="s">
        <v>164</v>
      </c>
      <c r="D13" s="1499"/>
      <c r="E13" s="1499"/>
      <c r="F13" s="1499"/>
      <c r="G13" s="1499"/>
      <c r="H13" s="1499"/>
      <c r="I13" s="1499"/>
      <c r="J13" s="1499"/>
      <c r="K13" s="1499"/>
      <c r="L13" s="1499"/>
      <c r="M13" s="1499"/>
      <c r="N13" s="1499"/>
      <c r="O13" s="1499"/>
      <c r="P13" s="1499"/>
      <c r="Q13" s="1499"/>
      <c r="R13" s="1499"/>
      <c r="S13" s="1324"/>
    </row>
    <row r="14" spans="1:24" ht="63.75" customHeight="1" thickBot="1" x14ac:dyDescent="0.25">
      <c r="A14" s="1323" t="s">
        <v>238</v>
      </c>
      <c r="B14" s="1322" t="s">
        <v>239</v>
      </c>
      <c r="C14" s="221" t="str">
        <f>B15</f>
        <v>0D0097</v>
      </c>
      <c r="D14" s="222" t="str">
        <f>B16</f>
        <v>0D0077</v>
      </c>
      <c r="E14" s="222" t="str">
        <f>B17</f>
        <v>0D0078</v>
      </c>
      <c r="F14" s="222" t="str">
        <f>B18</f>
        <v>0D0079</v>
      </c>
      <c r="G14" s="222" t="str">
        <f>B19</f>
        <v>0D0080</v>
      </c>
      <c r="H14" s="222" t="str">
        <f>B20</f>
        <v>0D0584</v>
      </c>
      <c r="I14" s="222" t="str">
        <f>B21</f>
        <v>0D0585</v>
      </c>
      <c r="J14" s="222" t="str">
        <f>B22</f>
        <v>0D0586</v>
      </c>
      <c r="K14" s="222" t="str">
        <f>B23</f>
        <v>0D0496</v>
      </c>
      <c r="L14" s="222" t="str">
        <f>B24</f>
        <v>0D0PR2</v>
      </c>
      <c r="M14" s="222" t="str">
        <f>B25</f>
        <v>0D0PR1</v>
      </c>
      <c r="N14" s="222" t="str">
        <f>B26</f>
        <v>0EP981</v>
      </c>
      <c r="O14" s="222" t="str">
        <f>B27</f>
        <v>0FZ000</v>
      </c>
      <c r="P14" s="222" t="str">
        <f>B28</f>
        <v>0AS000</v>
      </c>
      <c r="Q14" s="222" t="str">
        <f>B29</f>
        <v>0OP000</v>
      </c>
      <c r="R14" s="223" t="str">
        <f>B30</f>
        <v>000061</v>
      </c>
      <c r="S14" s="1321" t="s">
        <v>123</v>
      </c>
    </row>
    <row r="15" spans="1:24" ht="12" customHeight="1" thickTop="1" x14ac:dyDescent="0.2">
      <c r="A15" s="16" t="str">
        <f>'t1'!A6</f>
        <v>DIRETTORE GENERALE</v>
      </c>
      <c r="B15" s="134" t="str">
        <f>'t1'!B6</f>
        <v>0D0097</v>
      </c>
      <c r="C15" s="1320"/>
      <c r="D15" s="224"/>
      <c r="E15" s="224"/>
      <c r="F15" s="224"/>
      <c r="G15" s="224"/>
      <c r="H15" s="225"/>
      <c r="I15" s="225"/>
      <c r="J15" s="225"/>
      <c r="K15" s="225"/>
      <c r="L15" s="225"/>
      <c r="M15" s="225"/>
      <c r="N15" s="225"/>
      <c r="O15" s="225"/>
      <c r="P15" s="225"/>
      <c r="Q15" s="225"/>
      <c r="R15" s="225"/>
      <c r="S15" s="386">
        <f t="shared" ref="S15:S30" si="0">SUM(C15:R15)</f>
        <v>0</v>
      </c>
    </row>
    <row r="16" spans="1:24" ht="12" customHeight="1" x14ac:dyDescent="0.2">
      <c r="A16" s="16" t="str">
        <f>'t1'!A7</f>
        <v>DIRIGENTE I FASCIA</v>
      </c>
      <c r="B16" s="134" t="str">
        <f>'t1'!B7</f>
        <v>0D0077</v>
      </c>
      <c r="C16" s="224"/>
      <c r="D16" s="1320"/>
      <c r="E16" s="224"/>
      <c r="F16" s="224"/>
      <c r="G16" s="224"/>
      <c r="H16" s="225"/>
      <c r="I16" s="225"/>
      <c r="J16" s="225"/>
      <c r="K16" s="225"/>
      <c r="L16" s="225"/>
      <c r="M16" s="225"/>
      <c r="N16" s="225"/>
      <c r="O16" s="225"/>
      <c r="P16" s="225"/>
      <c r="Q16" s="225"/>
      <c r="R16" s="225"/>
      <c r="S16" s="386">
        <f t="shared" si="0"/>
        <v>0</v>
      </c>
    </row>
    <row r="17" spans="1:19" ht="12" customHeight="1" x14ac:dyDescent="0.2">
      <c r="A17" s="16" t="str">
        <f>'t1'!A8</f>
        <v>DIRIGENTE I FASCIA A TEMPO DETERM.</v>
      </c>
      <c r="B17" s="134" t="str">
        <f>'t1'!B8</f>
        <v>0D0078</v>
      </c>
      <c r="C17" s="224"/>
      <c r="D17" s="224"/>
      <c r="E17" s="1320"/>
      <c r="F17" s="224"/>
      <c r="G17" s="224"/>
      <c r="H17" s="225"/>
      <c r="I17" s="225"/>
      <c r="J17" s="225"/>
      <c r="K17" s="225"/>
      <c r="L17" s="225"/>
      <c r="M17" s="225"/>
      <c r="N17" s="225"/>
      <c r="O17" s="225"/>
      <c r="P17" s="225"/>
      <c r="Q17" s="225"/>
      <c r="R17" s="225"/>
      <c r="S17" s="386">
        <f t="shared" si="0"/>
        <v>0</v>
      </c>
    </row>
    <row r="18" spans="1:19" ht="12" customHeight="1" x14ac:dyDescent="0.2">
      <c r="A18" s="16" t="str">
        <f>'t1'!A9</f>
        <v>DIRIGENTE II FASCIA</v>
      </c>
      <c r="B18" s="134" t="str">
        <f>'t1'!B9</f>
        <v>0D0079</v>
      </c>
      <c r="C18" s="224"/>
      <c r="D18" s="224"/>
      <c r="E18" s="224"/>
      <c r="F18" s="1320"/>
      <c r="G18" s="224"/>
      <c r="H18" s="225"/>
      <c r="I18" s="225"/>
      <c r="J18" s="225"/>
      <c r="K18" s="225"/>
      <c r="L18" s="225"/>
      <c r="M18" s="225"/>
      <c r="N18" s="225"/>
      <c r="O18" s="225"/>
      <c r="P18" s="225"/>
      <c r="Q18" s="225"/>
      <c r="R18" s="225"/>
      <c r="S18" s="386">
        <f t="shared" si="0"/>
        <v>0</v>
      </c>
    </row>
    <row r="19" spans="1:19" ht="12" customHeight="1" x14ac:dyDescent="0.2">
      <c r="A19" s="16" t="str">
        <f>'t1'!A10</f>
        <v>DIRIGENTE II FASCIA A TEMPO DETERM.</v>
      </c>
      <c r="B19" s="134" t="str">
        <f>'t1'!B10</f>
        <v>0D0080</v>
      </c>
      <c r="C19" s="227"/>
      <c r="D19" s="228"/>
      <c r="E19" s="228"/>
      <c r="F19" s="224"/>
      <c r="G19" s="1320"/>
      <c r="H19" s="225"/>
      <c r="I19" s="225"/>
      <c r="J19" s="225"/>
      <c r="K19" s="225"/>
      <c r="L19" s="225"/>
      <c r="M19" s="225"/>
      <c r="N19" s="225"/>
      <c r="O19" s="225"/>
      <c r="P19" s="225"/>
      <c r="Q19" s="225"/>
      <c r="R19" s="225"/>
      <c r="S19" s="386">
        <f t="shared" si="0"/>
        <v>0</v>
      </c>
    </row>
    <row r="20" spans="1:19" ht="12" customHeight="1" x14ac:dyDescent="0.2">
      <c r="A20" s="16" t="str">
        <f>'t1'!A11</f>
        <v>MEDICO II FASCIA T.P.</v>
      </c>
      <c r="B20" s="134" t="str">
        <f>'t1'!B11</f>
        <v>0D0584</v>
      </c>
      <c r="C20" s="227"/>
      <c r="D20" s="228"/>
      <c r="E20" s="228"/>
      <c r="F20" s="224"/>
      <c r="G20" s="224"/>
      <c r="H20" s="1320"/>
      <c r="I20" s="225"/>
      <c r="J20" s="225"/>
      <c r="K20" s="225"/>
      <c r="L20" s="225"/>
      <c r="M20" s="225"/>
      <c r="N20" s="225"/>
      <c r="O20" s="225"/>
      <c r="P20" s="225"/>
      <c r="Q20" s="225"/>
      <c r="R20" s="225"/>
      <c r="S20" s="386">
        <f t="shared" si="0"/>
        <v>0</v>
      </c>
    </row>
    <row r="21" spans="1:19" ht="12" customHeight="1" x14ac:dyDescent="0.2">
      <c r="A21" s="16" t="str">
        <f>'t1'!A12</f>
        <v>MEDICO I FASCIA T.P.</v>
      </c>
      <c r="B21" s="134" t="str">
        <f>'t1'!B12</f>
        <v>0D0585</v>
      </c>
      <c r="C21" s="224"/>
      <c r="D21" s="224"/>
      <c r="E21" s="224"/>
      <c r="F21" s="224"/>
      <c r="G21" s="224"/>
      <c r="H21" s="225"/>
      <c r="I21" s="1320"/>
      <c r="J21" s="225"/>
      <c r="K21" s="225"/>
      <c r="L21" s="225"/>
      <c r="M21" s="225"/>
      <c r="N21" s="225"/>
      <c r="O21" s="225"/>
      <c r="P21" s="225"/>
      <c r="Q21" s="225"/>
      <c r="R21" s="225"/>
      <c r="S21" s="386">
        <f t="shared" si="0"/>
        <v>0</v>
      </c>
    </row>
    <row r="22" spans="1:19" ht="12" customHeight="1" x14ac:dyDescent="0.2">
      <c r="A22" s="16" t="str">
        <f>'t1'!A13</f>
        <v>MEDICO II FASCIA T.D.</v>
      </c>
      <c r="B22" s="134" t="str">
        <f>'t1'!B13</f>
        <v>0D0586</v>
      </c>
      <c r="C22" s="224"/>
      <c r="D22" s="224"/>
      <c r="E22" s="224"/>
      <c r="F22" s="224"/>
      <c r="G22" s="224"/>
      <c r="H22" s="225"/>
      <c r="I22" s="225"/>
      <c r="J22" s="1320"/>
      <c r="K22" s="225"/>
      <c r="L22" s="225"/>
      <c r="M22" s="225"/>
      <c r="N22" s="225"/>
      <c r="O22" s="225"/>
      <c r="P22" s="225"/>
      <c r="Q22" s="225"/>
      <c r="R22" s="225"/>
      <c r="S22" s="386">
        <f t="shared" si="0"/>
        <v>0</v>
      </c>
    </row>
    <row r="23" spans="1:19" ht="12" customHeight="1" x14ac:dyDescent="0.2">
      <c r="A23" s="16" t="str">
        <f>'t1'!A14</f>
        <v>MEDICO I FASCIA T.D.</v>
      </c>
      <c r="B23" s="134" t="str">
        <f>'t1'!B14</f>
        <v>0D0496</v>
      </c>
      <c r="C23" s="224"/>
      <c r="D23" s="224"/>
      <c r="E23" s="224"/>
      <c r="F23" s="224"/>
      <c r="G23" s="224"/>
      <c r="H23" s="225"/>
      <c r="I23" s="225"/>
      <c r="J23" s="225"/>
      <c r="K23" s="1320"/>
      <c r="L23" s="225"/>
      <c r="M23" s="225"/>
      <c r="N23" s="225"/>
      <c r="O23" s="225"/>
      <c r="P23" s="225"/>
      <c r="Q23" s="225"/>
      <c r="R23" s="225"/>
      <c r="S23" s="386">
        <f t="shared" si="0"/>
        <v>0</v>
      </c>
    </row>
    <row r="24" spans="1:19" ht="12" customHeight="1" x14ac:dyDescent="0.2">
      <c r="A24" s="16" t="str">
        <f>'t1'!A15</f>
        <v>PROFESSIONISTI II LIVELLO</v>
      </c>
      <c r="B24" s="134" t="str">
        <f>'t1'!B15</f>
        <v>0D0PR2</v>
      </c>
      <c r="C24" s="224"/>
      <c r="D24" s="224"/>
      <c r="E24" s="224"/>
      <c r="F24" s="224"/>
      <c r="G24" s="224"/>
      <c r="H24" s="225"/>
      <c r="I24" s="225"/>
      <c r="J24" s="225"/>
      <c r="K24" s="225"/>
      <c r="L24" s="1320"/>
      <c r="M24" s="225"/>
      <c r="N24" s="225"/>
      <c r="O24" s="225"/>
      <c r="P24" s="225"/>
      <c r="Q24" s="225"/>
      <c r="R24" s="225"/>
      <c r="S24" s="386">
        <f t="shared" si="0"/>
        <v>0</v>
      </c>
    </row>
    <row r="25" spans="1:19" ht="12" customHeight="1" x14ac:dyDescent="0.2">
      <c r="A25" s="16" t="str">
        <f>'t1'!A16</f>
        <v>PROFESSIONISTI I LIVELLO</v>
      </c>
      <c r="B25" s="134" t="str">
        <f>'t1'!B16</f>
        <v>0D0PR1</v>
      </c>
      <c r="C25" s="229"/>
      <c r="D25" s="229"/>
      <c r="E25" s="229"/>
      <c r="F25" s="229"/>
      <c r="G25" s="229"/>
      <c r="H25" s="228"/>
      <c r="I25" s="228"/>
      <c r="J25" s="228"/>
      <c r="K25" s="228"/>
      <c r="L25" s="225"/>
      <c r="M25" s="1320"/>
      <c r="N25" s="225"/>
      <c r="O25" s="225"/>
      <c r="P25" s="225"/>
      <c r="Q25" s="225"/>
      <c r="R25" s="228"/>
      <c r="S25" s="386">
        <f t="shared" si="0"/>
        <v>0</v>
      </c>
    </row>
    <row r="26" spans="1:19" ht="12" customHeight="1" x14ac:dyDescent="0.2">
      <c r="A26" s="16" t="str">
        <f>'t1'!A17</f>
        <v>ELEVATE PROFESSIONALITA'</v>
      </c>
      <c r="B26" s="134" t="str">
        <f>'t1'!B17</f>
        <v>0EP981</v>
      </c>
      <c r="C26" s="230"/>
      <c r="D26" s="230"/>
      <c r="E26" s="230"/>
      <c r="F26" s="230"/>
      <c r="G26" s="230"/>
      <c r="H26" s="231"/>
      <c r="I26" s="231"/>
      <c r="J26" s="231"/>
      <c r="K26" s="231"/>
      <c r="L26" s="225"/>
      <c r="M26" s="225"/>
      <c r="N26" s="1320"/>
      <c r="O26" s="225"/>
      <c r="P26" s="225"/>
      <c r="Q26" s="225"/>
      <c r="R26" s="228"/>
      <c r="S26" s="386">
        <f t="shared" si="0"/>
        <v>0</v>
      </c>
    </row>
    <row r="27" spans="1:19" ht="12" customHeight="1" x14ac:dyDescent="0.2">
      <c r="A27" s="16" t="str">
        <f>'t1'!A18</f>
        <v>FUNZIONARI</v>
      </c>
      <c r="B27" s="134" t="str">
        <f>'t1'!B18</f>
        <v>0FZ000</v>
      </c>
      <c r="C27" s="230"/>
      <c r="D27" s="230"/>
      <c r="E27" s="230"/>
      <c r="F27" s="230"/>
      <c r="G27" s="230"/>
      <c r="H27" s="231"/>
      <c r="I27" s="231"/>
      <c r="J27" s="231"/>
      <c r="K27" s="231"/>
      <c r="L27" s="225"/>
      <c r="M27" s="225"/>
      <c r="N27" s="225"/>
      <c r="O27" s="1320"/>
      <c r="P27" s="225"/>
      <c r="Q27" s="225"/>
      <c r="R27" s="228"/>
      <c r="S27" s="386">
        <f t="shared" si="0"/>
        <v>0</v>
      </c>
    </row>
    <row r="28" spans="1:19" ht="12" customHeight="1" x14ac:dyDescent="0.2">
      <c r="A28" s="16" t="str">
        <f>'t1'!A19</f>
        <v>ASSISTENTI</v>
      </c>
      <c r="B28" s="134" t="str">
        <f>'t1'!B19</f>
        <v>0AS000</v>
      </c>
      <c r="C28" s="230"/>
      <c r="D28" s="230"/>
      <c r="E28" s="230"/>
      <c r="F28" s="230"/>
      <c r="G28" s="230"/>
      <c r="H28" s="231"/>
      <c r="I28" s="231"/>
      <c r="J28" s="231"/>
      <c r="K28" s="231"/>
      <c r="L28" s="225"/>
      <c r="M28" s="225"/>
      <c r="N28" s="225"/>
      <c r="O28" s="225"/>
      <c r="P28" s="1320"/>
      <c r="Q28" s="225"/>
      <c r="R28" s="228"/>
      <c r="S28" s="386">
        <f t="shared" si="0"/>
        <v>0</v>
      </c>
    </row>
    <row r="29" spans="1:19" ht="12" customHeight="1" x14ac:dyDescent="0.2">
      <c r="A29" s="16" t="str">
        <f>'t1'!A20</f>
        <v>OPERATORI</v>
      </c>
      <c r="B29" s="134" t="str">
        <f>'t1'!B20</f>
        <v>0OP000</v>
      </c>
      <c r="C29" s="230"/>
      <c r="D29" s="230"/>
      <c r="E29" s="230"/>
      <c r="F29" s="230"/>
      <c r="G29" s="230"/>
      <c r="H29" s="231"/>
      <c r="I29" s="231"/>
      <c r="J29" s="231"/>
      <c r="K29" s="231"/>
      <c r="L29" s="225"/>
      <c r="M29" s="225"/>
      <c r="N29" s="225"/>
      <c r="O29" s="225"/>
      <c r="P29" s="225"/>
      <c r="Q29" s="1320"/>
      <c r="R29" s="228"/>
      <c r="S29" s="386">
        <f t="shared" si="0"/>
        <v>0</v>
      </c>
    </row>
    <row r="30" spans="1:19" ht="12" customHeight="1" thickBot="1" x14ac:dyDescent="0.25">
      <c r="A30" s="16" t="str">
        <f>'t1'!A21</f>
        <v>CONTRATTISTI</v>
      </c>
      <c r="B30" s="134" t="str">
        <f>'t1'!B21</f>
        <v>000061</v>
      </c>
      <c r="C30" s="230"/>
      <c r="D30" s="231"/>
      <c r="E30" s="231"/>
      <c r="F30" s="231"/>
      <c r="G30" s="231"/>
      <c r="H30" s="231"/>
      <c r="I30" s="231"/>
      <c r="J30" s="231"/>
      <c r="K30" s="231"/>
      <c r="L30" s="231"/>
      <c r="M30" s="231"/>
      <c r="N30" s="231"/>
      <c r="O30" s="231"/>
      <c r="P30" s="231"/>
      <c r="Q30" s="231"/>
      <c r="R30" s="1320"/>
      <c r="S30" s="386">
        <f t="shared" si="0"/>
        <v>0</v>
      </c>
    </row>
    <row r="31" spans="1:19" s="93" customFormat="1" ht="17.25" customHeight="1" thickTop="1" thickBot="1" x14ac:dyDescent="0.25">
      <c r="A31" s="1319" t="s">
        <v>161</v>
      </c>
      <c r="B31" s="199"/>
      <c r="C31" s="388">
        <f t="shared" ref="C31:K31" si="1">SUM(C15:C30)</f>
        <v>0</v>
      </c>
      <c r="D31" s="389">
        <f t="shared" si="1"/>
        <v>0</v>
      </c>
      <c r="E31" s="389">
        <f t="shared" si="1"/>
        <v>0</v>
      </c>
      <c r="F31" s="389">
        <f t="shared" si="1"/>
        <v>0</v>
      </c>
      <c r="G31" s="389">
        <f t="shared" si="1"/>
        <v>0</v>
      </c>
      <c r="H31" s="389">
        <f t="shared" si="1"/>
        <v>0</v>
      </c>
      <c r="I31" s="389">
        <f t="shared" si="1"/>
        <v>0</v>
      </c>
      <c r="J31" s="389">
        <f t="shared" si="1"/>
        <v>0</v>
      </c>
      <c r="K31" s="389">
        <f t="shared" si="1"/>
        <v>0</v>
      </c>
      <c r="L31" s="389">
        <f t="shared" ref="L31:S31" si="2">SUM(L15:L30)</f>
        <v>0</v>
      </c>
      <c r="M31" s="389">
        <f t="shared" si="2"/>
        <v>0</v>
      </c>
      <c r="N31" s="389">
        <f t="shared" si="2"/>
        <v>0</v>
      </c>
      <c r="O31" s="389">
        <f t="shared" si="2"/>
        <v>0</v>
      </c>
      <c r="P31" s="389">
        <f t="shared" si="2"/>
        <v>0</v>
      </c>
      <c r="Q31" s="389">
        <f t="shared" si="2"/>
        <v>0</v>
      </c>
      <c r="R31" s="389">
        <f t="shared" si="2"/>
        <v>0</v>
      </c>
      <c r="S31" s="387">
        <f t="shared" si="2"/>
        <v>0</v>
      </c>
    </row>
    <row r="32" spans="1:19" ht="17.25" customHeight="1" x14ac:dyDescent="0.2">
      <c r="A32" s="3" t="str">
        <f>'t1'!A23</f>
        <v>(a) personale a tempo indeterminato al quale viene applicato un contratto di lavoro di tipo privatistico (es.:tipografico,chimico,edile,metalmeccanico,portierato, ecc.)</v>
      </c>
    </row>
    <row r="42" spans="21:21" x14ac:dyDescent="0.2">
      <c r="U42" s="142"/>
    </row>
  </sheetData>
  <sheetProtection algorithmName="SHA-512" hashValue="ZvTw0UTe9WogyX9K2pkxEda/y3eK352C838C4YewNx6lJMc32UqnO0m+KVgY8VrjlSqVnah3a+TmzvY6yeWiIA==" saltValue="Qwnvq42RSvZG6CVwYBB1Qw==" spinCount="100000" sheet="1" formatColumns="0" selectLockedCells="1"/>
  <mergeCells count="7">
    <mergeCell ref="C13:R13"/>
    <mergeCell ref="C12:R12"/>
    <mergeCell ref="A1:R1"/>
    <mergeCell ref="D7:E7"/>
    <mergeCell ref="D8:E8"/>
    <mergeCell ref="D9:E9"/>
    <mergeCell ref="D6:E6"/>
  </mergeCells>
  <printOptions horizontalCentered="1" verticalCentered="1"/>
  <pageMargins left="0" right="0" top="0.19685039370078741" bottom="0.15748031496062992" header="0.19685039370078741" footer="0.19685039370078741"/>
  <pageSetup paperSize="9" scale="75" orientation="landscape" horizontalDpi="300" verticalDpi="4294967292"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oglio12"/>
  <dimension ref="A1:AA26"/>
  <sheetViews>
    <sheetView showGridLines="0" workbookViewId="0">
      <pane xSplit="2" ySplit="6" topLeftCell="C7" activePane="bottomRight" state="frozen"/>
      <selection activeCell="C4" sqref="C4:C6"/>
      <selection pane="topRight" activeCell="C4" sqref="C4:C6"/>
      <selection pane="bottomLeft" activeCell="C4" sqref="C4:C6"/>
      <selection pane="bottomRight" activeCell="C7" sqref="C7"/>
    </sheetView>
  </sheetViews>
  <sheetFormatPr defaultColWidth="10.6640625" defaultRowHeight="11.25" x14ac:dyDescent="0.2"/>
  <cols>
    <col min="1" max="1" width="39.6640625" style="80" customWidth="1"/>
    <col min="2" max="2" width="10.6640625" style="89" customWidth="1"/>
    <col min="3" max="14" width="11.1640625" style="80" customWidth="1"/>
    <col min="15" max="20" width="9.33203125" style="80" customWidth="1"/>
    <col min="21" max="22" width="11.1640625" style="80" customWidth="1"/>
    <col min="23" max="23" width="6.6640625" style="80" customWidth="1"/>
    <col min="24" max="27" width="10.6640625" style="80" customWidth="1"/>
    <col min="28" max="16384" width="10.6640625" style="80"/>
  </cols>
  <sheetData>
    <row r="1" spans="1:27" s="3" customFormat="1" ht="43.5" customHeight="1" x14ac:dyDescent="0.2">
      <c r="A1" s="1447" t="str">
        <f>'t1'!A1</f>
        <v>ENTI PUBBLICI NON ECONOMICI - anno 2024</v>
      </c>
      <c r="B1" s="1447"/>
      <c r="C1" s="1447"/>
      <c r="D1" s="1447"/>
      <c r="E1" s="1447"/>
      <c r="F1" s="1447"/>
      <c r="G1" s="1447"/>
      <c r="H1" s="1447"/>
      <c r="I1" s="1447"/>
      <c r="J1" s="1447"/>
      <c r="K1" s="1447"/>
      <c r="L1" s="1447"/>
      <c r="M1" s="1447"/>
      <c r="N1" s="1447"/>
      <c r="O1" s="1447"/>
      <c r="P1" s="1447"/>
      <c r="Q1" s="1447"/>
      <c r="R1" s="1447"/>
      <c r="S1" s="1447"/>
      <c r="T1" s="1447"/>
      <c r="U1"/>
      <c r="V1" s="285"/>
    </row>
    <row r="2" spans="1:27" s="3" customFormat="1" ht="30" customHeight="1" thickBot="1" x14ac:dyDescent="0.25">
      <c r="A2" s="284"/>
      <c r="B2" s="2"/>
      <c r="I2" s="4"/>
      <c r="O2" s="1489"/>
      <c r="P2" s="1489"/>
      <c r="Q2" s="1489"/>
      <c r="R2" s="1489"/>
      <c r="S2" s="1489"/>
      <c r="T2" s="1489"/>
      <c r="U2" s="1489"/>
      <c r="V2" s="1489"/>
    </row>
    <row r="3" spans="1:27" ht="15" customHeight="1" thickBot="1" x14ac:dyDescent="0.25">
      <c r="A3" s="81"/>
      <c r="B3" s="82"/>
      <c r="C3" s="282" t="s">
        <v>234</v>
      </c>
      <c r="D3" s="83"/>
      <c r="E3" s="83"/>
      <c r="F3" s="83"/>
      <c r="G3" s="83"/>
      <c r="H3" s="83"/>
      <c r="I3" s="83"/>
      <c r="J3" s="83"/>
      <c r="K3" s="83"/>
      <c r="L3" s="83"/>
      <c r="M3" s="83"/>
      <c r="N3" s="83"/>
      <c r="O3" s="83"/>
      <c r="P3" s="83"/>
      <c r="Q3" s="83"/>
      <c r="R3" s="83"/>
      <c r="S3" s="849"/>
      <c r="T3" s="849"/>
      <c r="U3" s="83"/>
      <c r="V3" s="84"/>
      <c r="X3"/>
      <c r="Y3"/>
      <c r="Z3"/>
      <c r="AA3"/>
    </row>
    <row r="4" spans="1:27" ht="30" customHeight="1" thickTop="1" x14ac:dyDescent="0.2">
      <c r="A4" s="258" t="s">
        <v>124</v>
      </c>
      <c r="B4" s="85" t="s">
        <v>57</v>
      </c>
      <c r="C4" s="1505" t="s">
        <v>328</v>
      </c>
      <c r="D4" s="1506"/>
      <c r="E4" s="1505" t="s">
        <v>891</v>
      </c>
      <c r="F4" s="1506"/>
      <c r="G4" s="1505" t="s">
        <v>329</v>
      </c>
      <c r="H4" s="1506"/>
      <c r="I4" s="1505" t="s">
        <v>50</v>
      </c>
      <c r="J4" s="1506"/>
      <c r="K4" s="1505" t="s">
        <v>51</v>
      </c>
      <c r="L4" s="1506"/>
      <c r="M4" s="1505" t="s">
        <v>597</v>
      </c>
      <c r="N4" s="1506"/>
      <c r="O4" s="1505" t="s">
        <v>822</v>
      </c>
      <c r="P4" s="1506"/>
      <c r="Q4" s="1505" t="s">
        <v>1059</v>
      </c>
      <c r="R4" s="1506"/>
      <c r="S4" s="1505" t="s">
        <v>85</v>
      </c>
      <c r="T4" s="1506"/>
      <c r="U4" s="1505" t="s">
        <v>60</v>
      </c>
      <c r="V4" s="1507"/>
      <c r="X4"/>
      <c r="Y4"/>
      <c r="Z4"/>
      <c r="AA4"/>
    </row>
    <row r="5" spans="1:27" x14ac:dyDescent="0.2">
      <c r="A5" s="537"/>
      <c r="B5" s="85"/>
      <c r="C5" s="1503" t="s">
        <v>332</v>
      </c>
      <c r="D5" s="1508"/>
      <c r="E5" s="1503" t="s">
        <v>333</v>
      </c>
      <c r="F5" s="1508"/>
      <c r="G5" s="1503" t="s">
        <v>334</v>
      </c>
      <c r="H5" s="1508"/>
      <c r="I5" s="1503" t="s">
        <v>335</v>
      </c>
      <c r="J5" s="1508"/>
      <c r="K5" s="1503" t="s">
        <v>336</v>
      </c>
      <c r="L5" s="1508"/>
      <c r="M5" s="1503" t="s">
        <v>553</v>
      </c>
      <c r="N5" s="1508"/>
      <c r="O5" s="1503" t="s">
        <v>370</v>
      </c>
      <c r="P5" s="1508"/>
      <c r="Q5" s="1503" t="s">
        <v>1060</v>
      </c>
      <c r="R5" s="1508"/>
      <c r="S5" s="1503" t="s">
        <v>337</v>
      </c>
      <c r="T5" s="1508"/>
      <c r="U5" s="1503"/>
      <c r="V5" s="1504"/>
      <c r="X5"/>
      <c r="Y5"/>
      <c r="Z5"/>
      <c r="AA5"/>
    </row>
    <row r="6" spans="1:27" ht="12" thickBot="1" x14ac:dyDescent="0.25">
      <c r="A6" s="716"/>
      <c r="B6" s="86"/>
      <c r="C6" s="539" t="s">
        <v>58</v>
      </c>
      <c r="D6" s="540" t="s">
        <v>59</v>
      </c>
      <c r="E6" s="539" t="s">
        <v>58</v>
      </c>
      <c r="F6" s="540" t="s">
        <v>59</v>
      </c>
      <c r="G6" s="539" t="s">
        <v>58</v>
      </c>
      <c r="H6" s="540" t="s">
        <v>59</v>
      </c>
      <c r="I6" s="539" t="s">
        <v>58</v>
      </c>
      <c r="J6" s="540" t="s">
        <v>59</v>
      </c>
      <c r="K6" s="539" t="s">
        <v>58</v>
      </c>
      <c r="L6" s="540" t="s">
        <v>59</v>
      </c>
      <c r="M6" s="539" t="s">
        <v>58</v>
      </c>
      <c r="N6" s="540" t="s">
        <v>59</v>
      </c>
      <c r="O6" s="539" t="s">
        <v>58</v>
      </c>
      <c r="P6" s="540" t="s">
        <v>59</v>
      </c>
      <c r="Q6" s="539" t="s">
        <v>58</v>
      </c>
      <c r="R6" s="540" t="s">
        <v>59</v>
      </c>
      <c r="S6" s="539" t="s">
        <v>58</v>
      </c>
      <c r="T6" s="540" t="s">
        <v>59</v>
      </c>
      <c r="U6" s="539" t="s">
        <v>58</v>
      </c>
      <c r="V6" s="541" t="s">
        <v>59</v>
      </c>
      <c r="X6"/>
      <c r="Y6"/>
      <c r="Z6"/>
      <c r="AA6"/>
    </row>
    <row r="7" spans="1:27" ht="12.75" customHeight="1" thickTop="1" x14ac:dyDescent="0.2">
      <c r="A7" s="17" t="str">
        <f>'t1'!A6</f>
        <v>DIRETTORE GENERALE</v>
      </c>
      <c r="B7" s="208" t="str">
        <f>'t1'!B6</f>
        <v>0D0097</v>
      </c>
      <c r="C7" s="204"/>
      <c r="D7" s="209"/>
      <c r="E7" s="204"/>
      <c r="F7" s="209"/>
      <c r="G7" s="204"/>
      <c r="H7" s="209"/>
      <c r="I7" s="204"/>
      <c r="J7" s="209"/>
      <c r="K7" s="457"/>
      <c r="L7" s="203"/>
      <c r="M7" s="204"/>
      <c r="N7" s="209"/>
      <c r="O7" s="210"/>
      <c r="P7" s="209"/>
      <c r="Q7" s="210"/>
      <c r="R7" s="209"/>
      <c r="S7" s="210"/>
      <c r="T7" s="209"/>
      <c r="U7" s="390">
        <f>SUM(C7,E7,G7,I7,K7,M7,O7,Q7,S7)</f>
        <v>0</v>
      </c>
      <c r="V7" s="391">
        <f>SUM(D7,F7,H7,J7,L7,N7,P7,R7,T7)</f>
        <v>0</v>
      </c>
      <c r="W7" s="707"/>
      <c r="X7"/>
      <c r="Y7"/>
      <c r="Z7"/>
      <c r="AA7"/>
    </row>
    <row r="8" spans="1:27" ht="12.75" customHeight="1" x14ac:dyDescent="0.2">
      <c r="A8" s="135" t="str">
        <f>'t1'!A7</f>
        <v>DIRIGENTE I FASCIA</v>
      </c>
      <c r="B8" s="201" t="str">
        <f>'t1'!B7</f>
        <v>0D0077</v>
      </c>
      <c r="C8" s="204"/>
      <c r="D8" s="209"/>
      <c r="E8" s="204"/>
      <c r="F8" s="209"/>
      <c r="G8" s="204"/>
      <c r="H8" s="209"/>
      <c r="I8" s="204"/>
      <c r="J8" s="209"/>
      <c r="K8" s="458"/>
      <c r="L8" s="203"/>
      <c r="M8" s="204"/>
      <c r="N8" s="209"/>
      <c r="O8" s="210"/>
      <c r="P8" s="209"/>
      <c r="Q8" s="210"/>
      <c r="R8" s="209"/>
      <c r="S8" s="210"/>
      <c r="T8" s="209"/>
      <c r="U8" s="392">
        <f t="shared" ref="U8:U17" si="0">SUM(C8,E8,G8,I8,K8,M8,O8,Q8,S8)</f>
        <v>0</v>
      </c>
      <c r="V8" s="393">
        <f t="shared" ref="V8:V17" si="1">SUM(D8,F8,H8,J8,L8,N8,P8,R8,T8)</f>
        <v>0</v>
      </c>
      <c r="W8" s="707"/>
      <c r="X8"/>
      <c r="Y8"/>
      <c r="Z8"/>
      <c r="AA8"/>
    </row>
    <row r="9" spans="1:27" ht="12.75" customHeight="1" x14ac:dyDescent="0.2">
      <c r="A9" s="135" t="str">
        <f>'t1'!A8</f>
        <v>DIRIGENTE I FASCIA A TEMPO DETERM.</v>
      </c>
      <c r="B9" s="201" t="str">
        <f>'t1'!B8</f>
        <v>0D0078</v>
      </c>
      <c r="C9" s="204"/>
      <c r="D9" s="209"/>
      <c r="E9" s="204"/>
      <c r="F9" s="209"/>
      <c r="G9" s="204"/>
      <c r="H9" s="209"/>
      <c r="I9" s="204"/>
      <c r="J9" s="209"/>
      <c r="K9" s="458"/>
      <c r="L9" s="203"/>
      <c r="M9" s="204"/>
      <c r="N9" s="209"/>
      <c r="O9" s="210"/>
      <c r="P9" s="209"/>
      <c r="Q9" s="210"/>
      <c r="R9" s="209"/>
      <c r="S9" s="210"/>
      <c r="T9" s="209"/>
      <c r="U9" s="392">
        <f t="shared" si="0"/>
        <v>0</v>
      </c>
      <c r="V9" s="393">
        <f t="shared" si="1"/>
        <v>0</v>
      </c>
      <c r="W9" s="707"/>
      <c r="X9"/>
      <c r="Y9"/>
      <c r="Z9"/>
      <c r="AA9"/>
    </row>
    <row r="10" spans="1:27" ht="12.75" customHeight="1" x14ac:dyDescent="0.2">
      <c r="A10" s="135" t="str">
        <f>'t1'!A9</f>
        <v>DIRIGENTE II FASCIA</v>
      </c>
      <c r="B10" s="201" t="str">
        <f>'t1'!B9</f>
        <v>0D0079</v>
      </c>
      <c r="C10" s="204"/>
      <c r="D10" s="209"/>
      <c r="E10" s="204"/>
      <c r="F10" s="209"/>
      <c r="G10" s="204"/>
      <c r="H10" s="209"/>
      <c r="I10" s="204"/>
      <c r="J10" s="209"/>
      <c r="K10" s="458"/>
      <c r="L10" s="203"/>
      <c r="M10" s="204"/>
      <c r="N10" s="209"/>
      <c r="O10" s="210"/>
      <c r="P10" s="209"/>
      <c r="Q10" s="210"/>
      <c r="R10" s="209"/>
      <c r="S10" s="210"/>
      <c r="T10" s="209"/>
      <c r="U10" s="392">
        <f t="shared" si="0"/>
        <v>0</v>
      </c>
      <c r="V10" s="393">
        <f t="shared" si="1"/>
        <v>0</v>
      </c>
      <c r="W10" s="707"/>
      <c r="X10"/>
      <c r="Y10"/>
      <c r="Z10"/>
      <c r="AA10"/>
    </row>
    <row r="11" spans="1:27" ht="12.75" customHeight="1" x14ac:dyDescent="0.2">
      <c r="A11" s="135" t="str">
        <f>'t1'!A10</f>
        <v>DIRIGENTE II FASCIA A TEMPO DETERM.</v>
      </c>
      <c r="B11" s="201" t="str">
        <f>'t1'!B10</f>
        <v>0D0080</v>
      </c>
      <c r="C11" s="204"/>
      <c r="D11" s="209"/>
      <c r="E11" s="204"/>
      <c r="F11" s="209"/>
      <c r="G11" s="204"/>
      <c r="H11" s="209"/>
      <c r="I11" s="204"/>
      <c r="J11" s="209"/>
      <c r="K11" s="458"/>
      <c r="L11" s="203"/>
      <c r="M11" s="204"/>
      <c r="N11" s="209"/>
      <c r="O11" s="210"/>
      <c r="P11" s="209"/>
      <c r="Q11" s="210"/>
      <c r="R11" s="209"/>
      <c r="S11" s="210"/>
      <c r="T11" s="209"/>
      <c r="U11" s="392">
        <f t="shared" si="0"/>
        <v>0</v>
      </c>
      <c r="V11" s="393">
        <f t="shared" si="1"/>
        <v>0</v>
      </c>
      <c r="W11" s="707"/>
      <c r="X11"/>
      <c r="Y11"/>
      <c r="Z11"/>
      <c r="AA11"/>
    </row>
    <row r="12" spans="1:27" ht="12.75" customHeight="1" x14ac:dyDescent="0.2">
      <c r="A12" s="135" t="str">
        <f>'t1'!A11</f>
        <v>MEDICO II FASCIA T.P.</v>
      </c>
      <c r="B12" s="201" t="str">
        <f>'t1'!B11</f>
        <v>0D0584</v>
      </c>
      <c r="C12" s="204"/>
      <c r="D12" s="209"/>
      <c r="E12" s="204"/>
      <c r="F12" s="209"/>
      <c r="G12" s="204"/>
      <c r="H12" s="209"/>
      <c r="I12" s="204"/>
      <c r="J12" s="209"/>
      <c r="K12" s="458"/>
      <c r="L12" s="203"/>
      <c r="M12" s="204"/>
      <c r="N12" s="209"/>
      <c r="O12" s="210"/>
      <c r="P12" s="209"/>
      <c r="Q12" s="210"/>
      <c r="R12" s="209"/>
      <c r="S12" s="210"/>
      <c r="T12" s="209"/>
      <c r="U12" s="392">
        <f t="shared" si="0"/>
        <v>0</v>
      </c>
      <c r="V12" s="393">
        <f t="shared" si="1"/>
        <v>0</v>
      </c>
      <c r="W12" s="707"/>
      <c r="X12"/>
      <c r="Y12"/>
      <c r="Z12"/>
      <c r="AA12"/>
    </row>
    <row r="13" spans="1:27" ht="12.75" customHeight="1" x14ac:dyDescent="0.2">
      <c r="A13" s="135" t="str">
        <f>'t1'!A12</f>
        <v>MEDICO I FASCIA T.P.</v>
      </c>
      <c r="B13" s="201" t="str">
        <f>'t1'!B12</f>
        <v>0D0585</v>
      </c>
      <c r="C13" s="204"/>
      <c r="D13" s="209"/>
      <c r="E13" s="204"/>
      <c r="F13" s="209"/>
      <c r="G13" s="204"/>
      <c r="H13" s="209"/>
      <c r="I13" s="204"/>
      <c r="J13" s="209"/>
      <c r="K13" s="458"/>
      <c r="L13" s="203"/>
      <c r="M13" s="204"/>
      <c r="N13" s="209"/>
      <c r="O13" s="210"/>
      <c r="P13" s="209"/>
      <c r="Q13" s="210"/>
      <c r="R13" s="209"/>
      <c r="S13" s="210"/>
      <c r="T13" s="209"/>
      <c r="U13" s="392">
        <f t="shared" si="0"/>
        <v>0</v>
      </c>
      <c r="V13" s="393">
        <f t="shared" si="1"/>
        <v>0</v>
      </c>
      <c r="W13" s="707"/>
      <c r="X13"/>
      <c r="Y13"/>
      <c r="Z13"/>
      <c r="AA13"/>
    </row>
    <row r="14" spans="1:27" ht="12.75" customHeight="1" x14ac:dyDescent="0.2">
      <c r="A14" s="135" t="str">
        <f>'t1'!A13</f>
        <v>MEDICO II FASCIA T.D.</v>
      </c>
      <c r="B14" s="201" t="str">
        <f>'t1'!B13</f>
        <v>0D0586</v>
      </c>
      <c r="C14" s="204"/>
      <c r="D14" s="209"/>
      <c r="E14" s="204"/>
      <c r="F14" s="209"/>
      <c r="G14" s="204"/>
      <c r="H14" s="209"/>
      <c r="I14" s="204"/>
      <c r="J14" s="209"/>
      <c r="K14" s="458"/>
      <c r="L14" s="203"/>
      <c r="M14" s="204"/>
      <c r="N14" s="209"/>
      <c r="O14" s="210"/>
      <c r="P14" s="209"/>
      <c r="Q14" s="210"/>
      <c r="R14" s="209"/>
      <c r="S14" s="210"/>
      <c r="T14" s="209"/>
      <c r="U14" s="392">
        <f t="shared" si="0"/>
        <v>0</v>
      </c>
      <c r="V14" s="393">
        <f t="shared" si="1"/>
        <v>0</v>
      </c>
      <c r="W14" s="707"/>
      <c r="X14"/>
      <c r="Y14"/>
      <c r="Z14"/>
      <c r="AA14"/>
    </row>
    <row r="15" spans="1:27" ht="12.75" customHeight="1" x14ac:dyDescent="0.2">
      <c r="A15" s="135" t="str">
        <f>'t1'!A14</f>
        <v>MEDICO I FASCIA T.D.</v>
      </c>
      <c r="B15" s="201" t="str">
        <f>'t1'!B14</f>
        <v>0D0496</v>
      </c>
      <c r="C15" s="204"/>
      <c r="D15" s="209"/>
      <c r="E15" s="204"/>
      <c r="F15" s="209"/>
      <c r="G15" s="204"/>
      <c r="H15" s="209"/>
      <c r="I15" s="204"/>
      <c r="J15" s="209"/>
      <c r="K15" s="458"/>
      <c r="L15" s="203"/>
      <c r="M15" s="204"/>
      <c r="N15" s="209"/>
      <c r="O15" s="210"/>
      <c r="P15" s="209"/>
      <c r="Q15" s="210"/>
      <c r="R15" s="209"/>
      <c r="S15" s="210"/>
      <c r="T15" s="209"/>
      <c r="U15" s="392">
        <f t="shared" si="0"/>
        <v>0</v>
      </c>
      <c r="V15" s="393">
        <f t="shared" si="1"/>
        <v>0</v>
      </c>
      <c r="W15" s="707"/>
      <c r="X15"/>
      <c r="Y15"/>
      <c r="Z15"/>
      <c r="AA15"/>
    </row>
    <row r="16" spans="1:27" ht="12.75" customHeight="1" x14ac:dyDescent="0.2">
      <c r="A16" s="135" t="str">
        <f>'t1'!A15</f>
        <v>PROFESSIONISTI II LIVELLO</v>
      </c>
      <c r="B16" s="201" t="str">
        <f>'t1'!B15</f>
        <v>0D0PR2</v>
      </c>
      <c r="C16" s="204"/>
      <c r="D16" s="209"/>
      <c r="E16" s="204"/>
      <c r="F16" s="209"/>
      <c r="G16" s="204"/>
      <c r="H16" s="209"/>
      <c r="I16" s="204"/>
      <c r="J16" s="209"/>
      <c r="K16" s="458"/>
      <c r="L16" s="203"/>
      <c r="M16" s="204"/>
      <c r="N16" s="209"/>
      <c r="O16" s="210"/>
      <c r="P16" s="209"/>
      <c r="Q16" s="210"/>
      <c r="R16" s="209"/>
      <c r="S16" s="210"/>
      <c r="T16" s="209"/>
      <c r="U16" s="392">
        <f t="shared" si="0"/>
        <v>0</v>
      </c>
      <c r="V16" s="393">
        <f t="shared" si="1"/>
        <v>0</v>
      </c>
      <c r="W16" s="707"/>
      <c r="X16"/>
      <c r="Y16"/>
      <c r="Z16"/>
      <c r="AA16"/>
    </row>
    <row r="17" spans="1:27" ht="12.75" customHeight="1" x14ac:dyDescent="0.2">
      <c r="A17" s="135" t="str">
        <f>'t1'!A16</f>
        <v>PROFESSIONISTI I LIVELLO</v>
      </c>
      <c r="B17" s="201" t="str">
        <f>'t1'!B16</f>
        <v>0D0PR1</v>
      </c>
      <c r="C17" s="204"/>
      <c r="D17" s="209"/>
      <c r="E17" s="204"/>
      <c r="F17" s="209"/>
      <c r="G17" s="204"/>
      <c r="H17" s="209"/>
      <c r="I17" s="204"/>
      <c r="J17" s="209"/>
      <c r="K17" s="458"/>
      <c r="L17" s="203"/>
      <c r="M17" s="204"/>
      <c r="N17" s="209"/>
      <c r="O17" s="210"/>
      <c r="P17" s="209"/>
      <c r="Q17" s="210"/>
      <c r="R17" s="209"/>
      <c r="S17" s="210"/>
      <c r="T17" s="209"/>
      <c r="U17" s="392">
        <f t="shared" si="0"/>
        <v>0</v>
      </c>
      <c r="V17" s="393">
        <f t="shared" si="1"/>
        <v>0</v>
      </c>
      <c r="W17" s="707"/>
      <c r="X17"/>
      <c r="Y17"/>
      <c r="Z17"/>
      <c r="AA17"/>
    </row>
    <row r="18" spans="1:27" ht="12.75" customHeight="1" x14ac:dyDescent="0.2">
      <c r="A18" s="135" t="str">
        <f>'t1'!A17</f>
        <v>ELEVATE PROFESSIONALITA'</v>
      </c>
      <c r="B18" s="201" t="str">
        <f>'t1'!B17</f>
        <v>0EP981</v>
      </c>
      <c r="C18" s="204"/>
      <c r="D18" s="209"/>
      <c r="E18" s="204"/>
      <c r="F18" s="209"/>
      <c r="G18" s="204"/>
      <c r="H18" s="209"/>
      <c r="I18" s="204"/>
      <c r="J18" s="209"/>
      <c r="K18" s="458"/>
      <c r="L18" s="203"/>
      <c r="M18" s="204"/>
      <c r="N18" s="209"/>
      <c r="O18" s="210"/>
      <c r="P18" s="209"/>
      <c r="Q18" s="210"/>
      <c r="R18" s="209"/>
      <c r="S18" s="210"/>
      <c r="T18" s="209"/>
      <c r="U18" s="392">
        <f t="shared" ref="U18:V22" si="2">SUM(C18,E18,G18,I18,K18,M18,O18,Q18,S18)</f>
        <v>0</v>
      </c>
      <c r="V18" s="393">
        <f t="shared" si="2"/>
        <v>0</v>
      </c>
      <c r="W18" s="707"/>
      <c r="X18"/>
      <c r="Y18"/>
      <c r="Z18"/>
      <c r="AA18"/>
    </row>
    <row r="19" spans="1:27" ht="12.75" customHeight="1" x14ac:dyDescent="0.2">
      <c r="A19" s="135" t="str">
        <f>'t1'!A18</f>
        <v>FUNZIONARI</v>
      </c>
      <c r="B19" s="201" t="str">
        <f>'t1'!B18</f>
        <v>0FZ000</v>
      </c>
      <c r="C19" s="204"/>
      <c r="D19" s="209"/>
      <c r="E19" s="204"/>
      <c r="F19" s="209"/>
      <c r="G19" s="204"/>
      <c r="H19" s="209"/>
      <c r="I19" s="204"/>
      <c r="J19" s="209"/>
      <c r="K19" s="458"/>
      <c r="L19" s="203"/>
      <c r="M19" s="204"/>
      <c r="N19" s="209"/>
      <c r="O19" s="210"/>
      <c r="P19" s="209"/>
      <c r="Q19" s="210"/>
      <c r="R19" s="209"/>
      <c r="S19" s="210"/>
      <c r="T19" s="209"/>
      <c r="U19" s="392">
        <f t="shared" si="2"/>
        <v>0</v>
      </c>
      <c r="V19" s="393">
        <f t="shared" si="2"/>
        <v>0</v>
      </c>
      <c r="W19" s="707"/>
      <c r="X19"/>
      <c r="Y19"/>
      <c r="Z19"/>
      <c r="AA19"/>
    </row>
    <row r="20" spans="1:27" ht="12.75" customHeight="1" x14ac:dyDescent="0.2">
      <c r="A20" s="135" t="str">
        <f>'t1'!A19</f>
        <v>ASSISTENTI</v>
      </c>
      <c r="B20" s="201" t="str">
        <f>'t1'!B19</f>
        <v>0AS000</v>
      </c>
      <c r="C20" s="204"/>
      <c r="D20" s="209"/>
      <c r="E20" s="204"/>
      <c r="F20" s="209"/>
      <c r="G20" s="204"/>
      <c r="H20" s="209"/>
      <c r="I20" s="204"/>
      <c r="J20" s="209"/>
      <c r="K20" s="458"/>
      <c r="L20" s="203"/>
      <c r="M20" s="204"/>
      <c r="N20" s="209"/>
      <c r="O20" s="210"/>
      <c r="P20" s="209"/>
      <c r="Q20" s="210"/>
      <c r="R20" s="209"/>
      <c r="S20" s="210"/>
      <c r="T20" s="209"/>
      <c r="U20" s="392">
        <f t="shared" si="2"/>
        <v>0</v>
      </c>
      <c r="V20" s="393">
        <f t="shared" si="2"/>
        <v>0</v>
      </c>
      <c r="W20" s="707"/>
      <c r="X20"/>
      <c r="Y20"/>
      <c r="Z20"/>
      <c r="AA20"/>
    </row>
    <row r="21" spans="1:27" ht="12.75" customHeight="1" x14ac:dyDescent="0.2">
      <c r="A21" s="135" t="str">
        <f>'t1'!A20</f>
        <v>OPERATORI</v>
      </c>
      <c r="B21" s="201" t="str">
        <f>'t1'!B20</f>
        <v>0OP000</v>
      </c>
      <c r="C21" s="204"/>
      <c r="D21" s="209"/>
      <c r="E21" s="204"/>
      <c r="F21" s="209"/>
      <c r="G21" s="204"/>
      <c r="H21" s="209"/>
      <c r="I21" s="204"/>
      <c r="J21" s="209"/>
      <c r="K21" s="458"/>
      <c r="L21" s="203"/>
      <c r="M21" s="204"/>
      <c r="N21" s="209"/>
      <c r="O21" s="210"/>
      <c r="P21" s="209"/>
      <c r="Q21" s="210"/>
      <c r="R21" s="209"/>
      <c r="S21" s="210"/>
      <c r="T21" s="209"/>
      <c r="U21" s="392">
        <f t="shared" si="2"/>
        <v>0</v>
      </c>
      <c r="V21" s="393">
        <f t="shared" si="2"/>
        <v>0</v>
      </c>
      <c r="W21" s="707"/>
      <c r="X21"/>
      <c r="Y21"/>
      <c r="Z21"/>
      <c r="AA21"/>
    </row>
    <row r="22" spans="1:27" ht="12.75" customHeight="1" thickBot="1" x14ac:dyDescent="0.25">
      <c r="A22" s="135" t="str">
        <f>'t1'!A21</f>
        <v>CONTRATTISTI</v>
      </c>
      <c r="B22" s="201" t="str">
        <f>'t1'!B21</f>
        <v>000061</v>
      </c>
      <c r="C22" s="204"/>
      <c r="D22" s="209"/>
      <c r="E22" s="204"/>
      <c r="F22" s="209"/>
      <c r="G22" s="204"/>
      <c r="H22" s="209"/>
      <c r="I22" s="204"/>
      <c r="J22" s="209"/>
      <c r="K22" s="458"/>
      <c r="L22" s="203"/>
      <c r="M22" s="204"/>
      <c r="N22" s="209"/>
      <c r="O22" s="210"/>
      <c r="P22" s="209"/>
      <c r="Q22" s="210"/>
      <c r="R22" s="209"/>
      <c r="S22" s="210"/>
      <c r="T22" s="209"/>
      <c r="U22" s="392">
        <f t="shared" si="2"/>
        <v>0</v>
      </c>
      <c r="V22" s="393">
        <f t="shared" si="2"/>
        <v>0</v>
      </c>
      <c r="W22" s="707"/>
      <c r="X22"/>
      <c r="Y22"/>
      <c r="Z22"/>
      <c r="AA22"/>
    </row>
    <row r="23" spans="1:27" ht="13.5" customHeight="1" thickTop="1" thickBot="1" x14ac:dyDescent="0.25">
      <c r="A23" s="275" t="s">
        <v>60</v>
      </c>
      <c r="B23" s="88"/>
      <c r="C23" s="385">
        <f t="shared" ref="C23:V23" si="3">SUM(C7:C22)</f>
        <v>0</v>
      </c>
      <c r="D23" s="384">
        <f t="shared" si="3"/>
        <v>0</v>
      </c>
      <c r="E23" s="385">
        <f t="shared" si="3"/>
        <v>0</v>
      </c>
      <c r="F23" s="384">
        <f t="shared" si="3"/>
        <v>0</v>
      </c>
      <c r="G23" s="385">
        <f t="shared" si="3"/>
        <v>0</v>
      </c>
      <c r="H23" s="384">
        <f t="shared" si="3"/>
        <v>0</v>
      </c>
      <c r="I23" s="385">
        <f t="shared" si="3"/>
        <v>0</v>
      </c>
      <c r="J23" s="384">
        <f t="shared" si="3"/>
        <v>0</v>
      </c>
      <c r="K23" s="385">
        <f t="shared" si="3"/>
        <v>0</v>
      </c>
      <c r="L23" s="454">
        <f t="shared" si="3"/>
        <v>0</v>
      </c>
      <c r="M23" s="385">
        <f t="shared" si="3"/>
        <v>0</v>
      </c>
      <c r="N23" s="454">
        <f t="shared" si="3"/>
        <v>0</v>
      </c>
      <c r="O23" s="385">
        <f t="shared" si="3"/>
        <v>0</v>
      </c>
      <c r="P23" s="384">
        <f t="shared" si="3"/>
        <v>0</v>
      </c>
      <c r="Q23" s="385">
        <f t="shared" si="3"/>
        <v>0</v>
      </c>
      <c r="R23" s="384">
        <f t="shared" si="3"/>
        <v>0</v>
      </c>
      <c r="S23" s="385">
        <f t="shared" si="3"/>
        <v>0</v>
      </c>
      <c r="T23" s="384">
        <f t="shared" si="3"/>
        <v>0</v>
      </c>
      <c r="U23" s="385">
        <f t="shared" si="3"/>
        <v>0</v>
      </c>
      <c r="V23" s="468">
        <f t="shared" si="3"/>
        <v>0</v>
      </c>
      <c r="W23" s="707"/>
      <c r="X23"/>
      <c r="Y23"/>
      <c r="Z23"/>
      <c r="AA23"/>
    </row>
    <row r="24" spans="1:27" ht="18.75" customHeight="1" x14ac:dyDescent="0.2">
      <c r="A24" s="80" t="s">
        <v>87</v>
      </c>
      <c r="W24" s="707"/>
    </row>
    <row r="25" spans="1:27" x14ac:dyDescent="0.2">
      <c r="A25" s="18" t="str">
        <f>'t1'!$A$23</f>
        <v>(a) personale a tempo indeterminato al quale viene applicato un contratto di lavoro di tipo privatistico (es.:tipografico,chimico,edile,metalmeccanico,portierato, ecc.)</v>
      </c>
      <c r="B25" s="2"/>
      <c r="C25" s="3"/>
      <c r="D25" s="3"/>
      <c r="E25" s="3"/>
      <c r="F25" s="3"/>
      <c r="G25" s="3"/>
      <c r="H25" s="3"/>
      <c r="I25" s="3"/>
      <c r="J25" s="3"/>
      <c r="K25" s="3"/>
      <c r="L25" s="3"/>
      <c r="M25" s="3"/>
      <c r="N25" s="3"/>
      <c r="W25" s="707"/>
    </row>
    <row r="26" spans="1:27" x14ac:dyDescent="0.2">
      <c r="A26" s="18"/>
    </row>
  </sheetData>
  <sheetProtection algorithmName="SHA-512" hashValue="/e+48JkkM29oeqW1D8rk3FFoNZsTWqnixbBJG1i7J97URDgVUs8vz1NbNd9/as0Gt6Q9o4gCn/YrFOAXt52taw==" saltValue="M8XylrZfIPysBU19MGDGjg==" spinCount="100000" sheet="1" formatColumns="0" selectLockedCells="1"/>
  <mergeCells count="22">
    <mergeCell ref="I5:J5"/>
    <mergeCell ref="K4:L4"/>
    <mergeCell ref="M4:N4"/>
    <mergeCell ref="M5:N5"/>
    <mergeCell ref="C4:D4"/>
    <mergeCell ref="E4:F4"/>
    <mergeCell ref="U5:V5"/>
    <mergeCell ref="I4:J4"/>
    <mergeCell ref="U4:V4"/>
    <mergeCell ref="O5:P5"/>
    <mergeCell ref="A1:T1"/>
    <mergeCell ref="G4:H4"/>
    <mergeCell ref="O2:V2"/>
    <mergeCell ref="C5:D5"/>
    <mergeCell ref="E5:F5"/>
    <mergeCell ref="G5:H5"/>
    <mergeCell ref="Q4:R4"/>
    <mergeCell ref="S4:T4"/>
    <mergeCell ref="S5:T5"/>
    <mergeCell ref="K5:L5"/>
    <mergeCell ref="Q5:R5"/>
    <mergeCell ref="O4:P4"/>
  </mergeCells>
  <phoneticPr fontId="30" type="noConversion"/>
  <conditionalFormatting sqref="A7:V22">
    <cfRule type="expression" dxfId="43" priority="2" stopIfTrue="1">
      <formula>$W7&gt;0</formula>
    </cfRule>
  </conditionalFormatting>
  <printOptions horizontalCentered="1" verticalCentered="1"/>
  <pageMargins left="0" right="0" top="0.15748031496062992" bottom="0.15748031496062992" header="0.19685039370078741" footer="0.19685039370078741"/>
  <pageSetup paperSize="9" scale="70"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oglio13"/>
  <dimension ref="A1:W27"/>
  <sheetViews>
    <sheetView showGridLines="0" workbookViewId="0">
      <pane xSplit="2" ySplit="6" topLeftCell="C7" activePane="bottomRight" state="frozen"/>
      <selection activeCell="C4" sqref="C4:C6"/>
      <selection pane="topRight" activeCell="C4" sqref="C4:C6"/>
      <selection pane="bottomLeft" activeCell="C4" sqref="C4:C6"/>
      <selection pane="bottomRight" activeCell="C7" sqref="C7"/>
    </sheetView>
  </sheetViews>
  <sheetFormatPr defaultColWidth="10.6640625" defaultRowHeight="11.25" x14ac:dyDescent="0.2"/>
  <cols>
    <col min="1" max="1" width="36.6640625" style="69" customWidth="1"/>
    <col min="2" max="2" width="10.6640625" style="68" customWidth="1"/>
    <col min="3" max="8" width="10.6640625" style="69" customWidth="1"/>
    <col min="9" max="12" width="11.1640625" style="69" customWidth="1"/>
    <col min="13" max="20" width="10.33203125" style="69" customWidth="1"/>
    <col min="21" max="22" width="10.6640625" style="69" customWidth="1"/>
    <col min="23" max="23" width="5.6640625" style="69" hidden="1" customWidth="1"/>
    <col min="24" max="16384" width="10.6640625" style="69"/>
  </cols>
  <sheetData>
    <row r="1" spans="1:23" s="3" customFormat="1" ht="43.5" customHeight="1" x14ac:dyDescent="0.2">
      <c r="A1" s="1447" t="str">
        <f>'t1'!A1</f>
        <v>ENTI PUBBLICI NON ECONOMICI - anno 2024</v>
      </c>
      <c r="B1" s="1447"/>
      <c r="C1" s="1447"/>
      <c r="D1" s="1447"/>
      <c r="E1" s="1447"/>
      <c r="F1" s="1447"/>
      <c r="G1" s="1447"/>
      <c r="H1" s="1447"/>
      <c r="I1" s="1447"/>
      <c r="J1" s="1447"/>
      <c r="K1" s="1447"/>
      <c r="L1" s="1447"/>
      <c r="M1" s="1447"/>
      <c r="N1" s="1447"/>
      <c r="O1" s="1447"/>
      <c r="P1" s="1447"/>
      <c r="Q1" s="318"/>
      <c r="R1" s="318"/>
      <c r="S1" s="318"/>
      <c r="T1" s="318"/>
      <c r="V1" s="285"/>
      <c r="W1"/>
    </row>
    <row r="2" spans="1:23" ht="30" customHeight="1" thickBot="1" x14ac:dyDescent="0.25">
      <c r="A2" s="67"/>
      <c r="D2" s="70"/>
      <c r="E2" s="70"/>
      <c r="F2" s="70"/>
      <c r="J2" s="1489"/>
      <c r="K2" s="1489"/>
      <c r="L2" s="1489"/>
      <c r="M2" s="1489"/>
      <c r="N2" s="1489"/>
      <c r="O2" s="1489"/>
      <c r="P2" s="1489"/>
      <c r="Q2" s="1489"/>
      <c r="R2" s="1489"/>
      <c r="S2" s="1489"/>
      <c r="T2" s="1489"/>
      <c r="U2" s="1489"/>
      <c r="V2" s="1489"/>
    </row>
    <row r="3" spans="1:23" ht="15" customHeight="1" thickBot="1" x14ac:dyDescent="0.25">
      <c r="A3" s="71"/>
      <c r="B3" s="72"/>
      <c r="C3" s="73" t="s">
        <v>235</v>
      </c>
      <c r="D3" s="74"/>
      <c r="E3" s="74"/>
      <c r="F3" s="74"/>
      <c r="G3" s="74"/>
      <c r="H3" s="74"/>
      <c r="I3" s="74"/>
      <c r="J3" s="74"/>
      <c r="K3" s="74"/>
      <c r="L3" s="74"/>
      <c r="M3" s="74"/>
      <c r="N3" s="74"/>
      <c r="O3" s="74"/>
      <c r="P3" s="74"/>
      <c r="Q3" s="74"/>
      <c r="R3" s="74"/>
      <c r="S3" s="74"/>
      <c r="T3" s="74"/>
      <c r="U3" s="74"/>
      <c r="V3" s="75"/>
    </row>
    <row r="4" spans="1:23" ht="37.5" customHeight="1" thickTop="1" x14ac:dyDescent="0.2">
      <c r="A4" s="257" t="s">
        <v>129</v>
      </c>
      <c r="B4" s="76" t="s">
        <v>57</v>
      </c>
      <c r="C4" s="1511" t="s">
        <v>331</v>
      </c>
      <c r="D4" s="1491"/>
      <c r="E4" s="1511" t="s">
        <v>85</v>
      </c>
      <c r="F4" s="1491"/>
      <c r="G4" s="1511" t="s">
        <v>578</v>
      </c>
      <c r="H4" s="1512"/>
      <c r="I4" s="1513" t="s">
        <v>308</v>
      </c>
      <c r="J4" s="1514"/>
      <c r="K4" s="1511" t="s">
        <v>309</v>
      </c>
      <c r="L4" s="1512"/>
      <c r="M4" s="1511" t="s">
        <v>310</v>
      </c>
      <c r="N4" s="1512"/>
      <c r="O4" s="1513" t="s">
        <v>311</v>
      </c>
      <c r="P4" s="1519"/>
      <c r="Q4" s="1511" t="s">
        <v>1057</v>
      </c>
      <c r="R4" s="1512"/>
      <c r="S4" s="1511" t="s">
        <v>1058</v>
      </c>
      <c r="T4" s="1512"/>
      <c r="U4" s="1517" t="s">
        <v>60</v>
      </c>
      <c r="V4" s="1518"/>
    </row>
    <row r="5" spans="1:23" x14ac:dyDescent="0.2">
      <c r="A5" s="538"/>
      <c r="B5" s="76"/>
      <c r="C5" s="1509" t="s">
        <v>338</v>
      </c>
      <c r="D5" s="1510"/>
      <c r="E5" s="1509" t="s">
        <v>339</v>
      </c>
      <c r="F5" s="1510"/>
      <c r="G5" s="1509" t="s">
        <v>340</v>
      </c>
      <c r="H5" s="1510"/>
      <c r="I5" s="1509" t="s">
        <v>341</v>
      </c>
      <c r="J5" s="1510"/>
      <c r="K5" s="1509" t="s">
        <v>342</v>
      </c>
      <c r="L5" s="1510"/>
      <c r="M5" s="1509" t="s">
        <v>343</v>
      </c>
      <c r="N5" s="1510"/>
      <c r="O5" s="1509" t="s">
        <v>344</v>
      </c>
      <c r="P5" s="1510"/>
      <c r="Q5" s="1509" t="s">
        <v>554</v>
      </c>
      <c r="R5" s="1510"/>
      <c r="S5" s="1509" t="s">
        <v>724</v>
      </c>
      <c r="T5" s="1510"/>
      <c r="U5" s="1515"/>
      <c r="V5" s="1516"/>
    </row>
    <row r="6" spans="1:23" ht="12" thickBot="1" x14ac:dyDescent="0.25">
      <c r="A6" s="715" t="s">
        <v>593</v>
      </c>
      <c r="B6" s="77"/>
      <c r="C6" s="542" t="s">
        <v>58</v>
      </c>
      <c r="D6" s="543" t="s">
        <v>59</v>
      </c>
      <c r="E6" s="542" t="s">
        <v>58</v>
      </c>
      <c r="F6" s="543" t="s">
        <v>59</v>
      </c>
      <c r="G6" s="542" t="s">
        <v>58</v>
      </c>
      <c r="H6" s="543" t="s">
        <v>59</v>
      </c>
      <c r="I6" s="542" t="s">
        <v>58</v>
      </c>
      <c r="J6" s="543" t="s">
        <v>59</v>
      </c>
      <c r="K6" s="542" t="s">
        <v>58</v>
      </c>
      <c r="L6" s="543" t="s">
        <v>59</v>
      </c>
      <c r="M6" s="542" t="s">
        <v>58</v>
      </c>
      <c r="N6" s="543" t="s">
        <v>59</v>
      </c>
      <c r="O6" s="542" t="s">
        <v>58</v>
      </c>
      <c r="P6" s="543" t="s">
        <v>59</v>
      </c>
      <c r="Q6" s="542" t="s">
        <v>58</v>
      </c>
      <c r="R6" s="543" t="s">
        <v>59</v>
      </c>
      <c r="S6" s="542" t="s">
        <v>58</v>
      </c>
      <c r="T6" s="543" t="s">
        <v>59</v>
      </c>
      <c r="U6" s="542" t="s">
        <v>58</v>
      </c>
      <c r="V6" s="544" t="s">
        <v>59</v>
      </c>
    </row>
    <row r="7" spans="1:23" ht="12" customHeight="1" thickTop="1" x14ac:dyDescent="0.2">
      <c r="A7" s="17" t="str">
        <f>'t1'!A6</f>
        <v>DIRETTORE GENERALE</v>
      </c>
      <c r="B7" s="208" t="str">
        <f>'t1'!B6</f>
        <v>0D0097</v>
      </c>
      <c r="C7" s="584"/>
      <c r="D7" s="585"/>
      <c r="E7" s="584"/>
      <c r="F7" s="586"/>
      <c r="G7" s="584"/>
      <c r="H7" s="586"/>
      <c r="I7" s="584"/>
      <c r="J7" s="585"/>
      <c r="K7" s="586"/>
      <c r="L7" s="585"/>
      <c r="M7" s="586"/>
      <c r="N7" s="585"/>
      <c r="O7" s="586"/>
      <c r="P7" s="585"/>
      <c r="Q7" s="586"/>
      <c r="R7" s="585"/>
      <c r="S7" s="586"/>
      <c r="T7" s="585"/>
      <c r="U7" s="394">
        <f>SUM(C7,E7,G7,I7,K7,M7,O7,Q7,S7)</f>
        <v>0</v>
      </c>
      <c r="V7" s="395">
        <f>SUM(D7,F7,H7,J7,L7,N7,P7,R7,T7)</f>
        <v>0</v>
      </c>
      <c r="W7" s="708">
        <f>'t1'!M6</f>
        <v>0</v>
      </c>
    </row>
    <row r="8" spans="1:23" ht="12" customHeight="1" x14ac:dyDescent="0.2">
      <c r="A8" s="135" t="str">
        <f>'t1'!A7</f>
        <v>DIRIGENTE I FASCIA</v>
      </c>
      <c r="B8" s="201" t="str">
        <f>'t1'!B7</f>
        <v>0D0077</v>
      </c>
      <c r="C8" s="587"/>
      <c r="D8" s="588"/>
      <c r="E8" s="587"/>
      <c r="F8" s="589"/>
      <c r="G8" s="587"/>
      <c r="H8" s="589"/>
      <c r="I8" s="587"/>
      <c r="J8" s="588"/>
      <c r="K8" s="589"/>
      <c r="L8" s="588"/>
      <c r="M8" s="589"/>
      <c r="N8" s="588"/>
      <c r="O8" s="589"/>
      <c r="P8" s="588"/>
      <c r="Q8" s="589"/>
      <c r="R8" s="588"/>
      <c r="S8" s="589"/>
      <c r="T8" s="588"/>
      <c r="U8" s="394">
        <f t="shared" ref="U8:U17" si="0">SUM(C8,E8,G8,I8,K8,M8,O8,Q8,S8)</f>
        <v>0</v>
      </c>
      <c r="V8" s="395">
        <f t="shared" ref="V8:V17" si="1">SUM(D8,F8,H8,J8,L8,N8,P8,R8,T8)</f>
        <v>0</v>
      </c>
      <c r="W8" s="708">
        <f>'t1'!M7</f>
        <v>0</v>
      </c>
    </row>
    <row r="9" spans="1:23" ht="12" customHeight="1" x14ac:dyDescent="0.2">
      <c r="A9" s="135" t="str">
        <f>'t1'!A8</f>
        <v>DIRIGENTE I FASCIA A TEMPO DETERM.</v>
      </c>
      <c r="B9" s="201" t="str">
        <f>'t1'!B8</f>
        <v>0D0078</v>
      </c>
      <c r="C9" s="587"/>
      <c r="D9" s="588"/>
      <c r="E9" s="587"/>
      <c r="F9" s="589"/>
      <c r="G9" s="587"/>
      <c r="H9" s="589"/>
      <c r="I9" s="587"/>
      <c r="J9" s="588"/>
      <c r="K9" s="589"/>
      <c r="L9" s="588"/>
      <c r="M9" s="589"/>
      <c r="N9" s="588"/>
      <c r="O9" s="589"/>
      <c r="P9" s="588"/>
      <c r="Q9" s="589"/>
      <c r="R9" s="588"/>
      <c r="S9" s="589"/>
      <c r="T9" s="588"/>
      <c r="U9" s="394">
        <f t="shared" si="0"/>
        <v>0</v>
      </c>
      <c r="V9" s="395">
        <f t="shared" si="1"/>
        <v>0</v>
      </c>
      <c r="W9" s="708">
        <f>'t1'!M8</f>
        <v>0</v>
      </c>
    </row>
    <row r="10" spans="1:23" ht="12" customHeight="1" x14ac:dyDescent="0.2">
      <c r="A10" s="135" t="str">
        <f>'t1'!A9</f>
        <v>DIRIGENTE II FASCIA</v>
      </c>
      <c r="B10" s="201" t="str">
        <f>'t1'!B9</f>
        <v>0D0079</v>
      </c>
      <c r="C10" s="587"/>
      <c r="D10" s="588"/>
      <c r="E10" s="587"/>
      <c r="F10" s="589"/>
      <c r="G10" s="587"/>
      <c r="H10" s="589"/>
      <c r="I10" s="587"/>
      <c r="J10" s="588"/>
      <c r="K10" s="589"/>
      <c r="L10" s="588"/>
      <c r="M10" s="589"/>
      <c r="N10" s="588"/>
      <c r="O10" s="589"/>
      <c r="P10" s="588"/>
      <c r="Q10" s="589"/>
      <c r="R10" s="588"/>
      <c r="S10" s="589"/>
      <c r="T10" s="588"/>
      <c r="U10" s="394">
        <f t="shared" si="0"/>
        <v>0</v>
      </c>
      <c r="V10" s="395">
        <f t="shared" si="1"/>
        <v>0</v>
      </c>
      <c r="W10" s="708">
        <f>'t1'!M9</f>
        <v>0</v>
      </c>
    </row>
    <row r="11" spans="1:23" ht="12" customHeight="1" x14ac:dyDescent="0.2">
      <c r="A11" s="135" t="str">
        <f>'t1'!A10</f>
        <v>DIRIGENTE II FASCIA A TEMPO DETERM.</v>
      </c>
      <c r="B11" s="201" t="str">
        <f>'t1'!B10</f>
        <v>0D0080</v>
      </c>
      <c r="C11" s="587"/>
      <c r="D11" s="588"/>
      <c r="E11" s="587"/>
      <c r="F11" s="589"/>
      <c r="G11" s="587"/>
      <c r="H11" s="589"/>
      <c r="I11" s="587"/>
      <c r="J11" s="588"/>
      <c r="K11" s="589"/>
      <c r="L11" s="588"/>
      <c r="M11" s="589"/>
      <c r="N11" s="588"/>
      <c r="O11" s="589"/>
      <c r="P11" s="588"/>
      <c r="Q11" s="589"/>
      <c r="R11" s="588"/>
      <c r="S11" s="589"/>
      <c r="T11" s="588"/>
      <c r="U11" s="394">
        <f t="shared" si="0"/>
        <v>0</v>
      </c>
      <c r="V11" s="395">
        <f t="shared" si="1"/>
        <v>0</v>
      </c>
      <c r="W11" s="708">
        <f>'t1'!M10</f>
        <v>0</v>
      </c>
    </row>
    <row r="12" spans="1:23" ht="12" customHeight="1" x14ac:dyDescent="0.2">
      <c r="A12" s="135" t="str">
        <f>'t1'!A11</f>
        <v>MEDICO II FASCIA T.P.</v>
      </c>
      <c r="B12" s="201" t="str">
        <f>'t1'!B11</f>
        <v>0D0584</v>
      </c>
      <c r="C12" s="587"/>
      <c r="D12" s="588"/>
      <c r="E12" s="587"/>
      <c r="F12" s="589"/>
      <c r="G12" s="587"/>
      <c r="H12" s="589"/>
      <c r="I12" s="587"/>
      <c r="J12" s="588"/>
      <c r="K12" s="589"/>
      <c r="L12" s="588"/>
      <c r="M12" s="589"/>
      <c r="N12" s="588"/>
      <c r="O12" s="589"/>
      <c r="P12" s="588"/>
      <c r="Q12" s="589"/>
      <c r="R12" s="588"/>
      <c r="S12" s="589"/>
      <c r="T12" s="588"/>
      <c r="U12" s="394">
        <f t="shared" si="0"/>
        <v>0</v>
      </c>
      <c r="V12" s="395">
        <f t="shared" si="1"/>
        <v>0</v>
      </c>
      <c r="W12" s="708">
        <f>'t1'!M11</f>
        <v>0</v>
      </c>
    </row>
    <row r="13" spans="1:23" ht="12" customHeight="1" x14ac:dyDescent="0.2">
      <c r="A13" s="135" t="str">
        <f>'t1'!A12</f>
        <v>MEDICO I FASCIA T.P.</v>
      </c>
      <c r="B13" s="201" t="str">
        <f>'t1'!B12</f>
        <v>0D0585</v>
      </c>
      <c r="C13" s="587"/>
      <c r="D13" s="588"/>
      <c r="E13" s="587"/>
      <c r="F13" s="589"/>
      <c r="G13" s="587"/>
      <c r="H13" s="589"/>
      <c r="I13" s="587"/>
      <c r="J13" s="588"/>
      <c r="K13" s="589"/>
      <c r="L13" s="588"/>
      <c r="M13" s="589"/>
      <c r="N13" s="588"/>
      <c r="O13" s="589"/>
      <c r="P13" s="588"/>
      <c r="Q13" s="589"/>
      <c r="R13" s="588"/>
      <c r="S13" s="589"/>
      <c r="T13" s="588"/>
      <c r="U13" s="394">
        <f t="shared" si="0"/>
        <v>0</v>
      </c>
      <c r="V13" s="395">
        <f t="shared" si="1"/>
        <v>0</v>
      </c>
      <c r="W13" s="708">
        <f>'t1'!M12</f>
        <v>0</v>
      </c>
    </row>
    <row r="14" spans="1:23" ht="12" customHeight="1" x14ac:dyDescent="0.2">
      <c r="A14" s="135" t="str">
        <f>'t1'!A13</f>
        <v>MEDICO II FASCIA T.D.</v>
      </c>
      <c r="B14" s="201" t="str">
        <f>'t1'!B13</f>
        <v>0D0586</v>
      </c>
      <c r="C14" s="587"/>
      <c r="D14" s="588"/>
      <c r="E14" s="587"/>
      <c r="F14" s="589"/>
      <c r="G14" s="587"/>
      <c r="H14" s="589"/>
      <c r="I14" s="587"/>
      <c r="J14" s="588"/>
      <c r="K14" s="589"/>
      <c r="L14" s="588"/>
      <c r="M14" s="589"/>
      <c r="N14" s="588"/>
      <c r="O14" s="589"/>
      <c r="P14" s="588"/>
      <c r="Q14" s="589"/>
      <c r="R14" s="588"/>
      <c r="S14" s="589"/>
      <c r="T14" s="588"/>
      <c r="U14" s="394">
        <f t="shared" si="0"/>
        <v>0</v>
      </c>
      <c r="V14" s="395">
        <f t="shared" si="1"/>
        <v>0</v>
      </c>
      <c r="W14" s="708">
        <f>'t1'!M13</f>
        <v>0</v>
      </c>
    </row>
    <row r="15" spans="1:23" ht="12" customHeight="1" x14ac:dyDescent="0.2">
      <c r="A15" s="135" t="str">
        <f>'t1'!A14</f>
        <v>MEDICO I FASCIA T.D.</v>
      </c>
      <c r="B15" s="201" t="str">
        <f>'t1'!B14</f>
        <v>0D0496</v>
      </c>
      <c r="C15" s="587"/>
      <c r="D15" s="588"/>
      <c r="E15" s="587"/>
      <c r="F15" s="589"/>
      <c r="G15" s="587"/>
      <c r="H15" s="589"/>
      <c r="I15" s="587"/>
      <c r="J15" s="588"/>
      <c r="K15" s="589"/>
      <c r="L15" s="588"/>
      <c r="M15" s="589"/>
      <c r="N15" s="588"/>
      <c r="O15" s="589"/>
      <c r="P15" s="588"/>
      <c r="Q15" s="589"/>
      <c r="R15" s="588"/>
      <c r="S15" s="589"/>
      <c r="T15" s="588"/>
      <c r="U15" s="394">
        <f t="shared" si="0"/>
        <v>0</v>
      </c>
      <c r="V15" s="395">
        <f t="shared" si="1"/>
        <v>0</v>
      </c>
      <c r="W15" s="708">
        <f>'t1'!M14</f>
        <v>0</v>
      </c>
    </row>
    <row r="16" spans="1:23" ht="12" customHeight="1" x14ac:dyDescent="0.2">
      <c r="A16" s="135" t="str">
        <f>'t1'!A15</f>
        <v>PROFESSIONISTI II LIVELLO</v>
      </c>
      <c r="B16" s="201" t="str">
        <f>'t1'!B15</f>
        <v>0D0PR2</v>
      </c>
      <c r="C16" s="587"/>
      <c r="D16" s="588"/>
      <c r="E16" s="587"/>
      <c r="F16" s="589"/>
      <c r="G16" s="587"/>
      <c r="H16" s="589"/>
      <c r="I16" s="587"/>
      <c r="J16" s="588"/>
      <c r="K16" s="589"/>
      <c r="L16" s="588"/>
      <c r="M16" s="589"/>
      <c r="N16" s="588"/>
      <c r="O16" s="589"/>
      <c r="P16" s="588"/>
      <c r="Q16" s="589"/>
      <c r="R16" s="588"/>
      <c r="S16" s="589"/>
      <c r="T16" s="588"/>
      <c r="U16" s="394">
        <f t="shared" si="0"/>
        <v>0</v>
      </c>
      <c r="V16" s="395">
        <f t="shared" si="1"/>
        <v>0</v>
      </c>
      <c r="W16" s="708">
        <f>'t1'!M15</f>
        <v>0</v>
      </c>
    </row>
    <row r="17" spans="1:23" ht="12" customHeight="1" x14ac:dyDescent="0.2">
      <c r="A17" s="135" t="str">
        <f>'t1'!A16</f>
        <v>PROFESSIONISTI I LIVELLO</v>
      </c>
      <c r="B17" s="201" t="str">
        <f>'t1'!B16</f>
        <v>0D0PR1</v>
      </c>
      <c r="C17" s="587"/>
      <c r="D17" s="588"/>
      <c r="E17" s="587"/>
      <c r="F17" s="589"/>
      <c r="G17" s="587"/>
      <c r="H17" s="589"/>
      <c r="I17" s="587"/>
      <c r="J17" s="588"/>
      <c r="K17" s="589"/>
      <c r="L17" s="588"/>
      <c r="M17" s="589"/>
      <c r="N17" s="588"/>
      <c r="O17" s="589"/>
      <c r="P17" s="588"/>
      <c r="Q17" s="589"/>
      <c r="R17" s="588"/>
      <c r="S17" s="589"/>
      <c r="T17" s="588"/>
      <c r="U17" s="394">
        <f t="shared" si="0"/>
        <v>0</v>
      </c>
      <c r="V17" s="395">
        <f t="shared" si="1"/>
        <v>0</v>
      </c>
      <c r="W17" s="708">
        <f>'t1'!M16</f>
        <v>0</v>
      </c>
    </row>
    <row r="18" spans="1:23" ht="12" customHeight="1" x14ac:dyDescent="0.2">
      <c r="A18" s="135" t="str">
        <f>'t1'!A17</f>
        <v>ELEVATE PROFESSIONALITA'</v>
      </c>
      <c r="B18" s="201" t="str">
        <f>'t1'!B17</f>
        <v>0EP981</v>
      </c>
      <c r="C18" s="590"/>
      <c r="D18" s="591"/>
      <c r="E18" s="592"/>
      <c r="F18" s="593"/>
      <c r="G18" s="592"/>
      <c r="H18" s="593"/>
      <c r="I18" s="590"/>
      <c r="J18" s="591"/>
      <c r="K18" s="593"/>
      <c r="L18" s="591"/>
      <c r="M18" s="593"/>
      <c r="N18" s="591"/>
      <c r="O18" s="593"/>
      <c r="P18" s="591"/>
      <c r="Q18" s="593"/>
      <c r="R18" s="591"/>
      <c r="S18" s="593"/>
      <c r="T18" s="591"/>
      <c r="U18" s="394">
        <f t="shared" ref="U18:V22" si="2">SUM(C18,E18,G18,I18,K18,M18,O18,Q18,S18)</f>
        <v>0</v>
      </c>
      <c r="V18" s="395">
        <f t="shared" si="2"/>
        <v>0</v>
      </c>
      <c r="W18" s="708">
        <f>'t1'!M17</f>
        <v>0</v>
      </c>
    </row>
    <row r="19" spans="1:23" ht="12" customHeight="1" x14ac:dyDescent="0.2">
      <c r="A19" s="135" t="str">
        <f>'t1'!A18</f>
        <v>FUNZIONARI</v>
      </c>
      <c r="B19" s="201" t="str">
        <f>'t1'!B18</f>
        <v>0FZ000</v>
      </c>
      <c r="C19" s="590"/>
      <c r="D19" s="591"/>
      <c r="E19" s="592"/>
      <c r="F19" s="593"/>
      <c r="G19" s="592"/>
      <c r="H19" s="593"/>
      <c r="I19" s="590"/>
      <c r="J19" s="591"/>
      <c r="K19" s="593"/>
      <c r="L19" s="591"/>
      <c r="M19" s="593"/>
      <c r="N19" s="591"/>
      <c r="O19" s="593"/>
      <c r="P19" s="591"/>
      <c r="Q19" s="593"/>
      <c r="R19" s="591"/>
      <c r="S19" s="593"/>
      <c r="T19" s="591"/>
      <c r="U19" s="394">
        <f t="shared" si="2"/>
        <v>0</v>
      </c>
      <c r="V19" s="395">
        <f t="shared" si="2"/>
        <v>0</v>
      </c>
      <c r="W19" s="708">
        <f>'t1'!M18</f>
        <v>0</v>
      </c>
    </row>
    <row r="20" spans="1:23" ht="12" customHeight="1" x14ac:dyDescent="0.2">
      <c r="A20" s="135" t="str">
        <f>'t1'!A19</f>
        <v>ASSISTENTI</v>
      </c>
      <c r="B20" s="201" t="str">
        <f>'t1'!B19</f>
        <v>0AS000</v>
      </c>
      <c r="C20" s="590"/>
      <c r="D20" s="591"/>
      <c r="E20" s="592"/>
      <c r="F20" s="593"/>
      <c r="G20" s="592"/>
      <c r="H20" s="593"/>
      <c r="I20" s="590"/>
      <c r="J20" s="591"/>
      <c r="K20" s="593"/>
      <c r="L20" s="591"/>
      <c r="M20" s="593"/>
      <c r="N20" s="591"/>
      <c r="O20" s="593"/>
      <c r="P20" s="591"/>
      <c r="Q20" s="593"/>
      <c r="R20" s="591"/>
      <c r="S20" s="593"/>
      <c r="T20" s="591"/>
      <c r="U20" s="394">
        <f t="shared" si="2"/>
        <v>0</v>
      </c>
      <c r="V20" s="395">
        <f t="shared" si="2"/>
        <v>0</v>
      </c>
      <c r="W20" s="708">
        <f>'t1'!M19</f>
        <v>1</v>
      </c>
    </row>
    <row r="21" spans="1:23" ht="12" customHeight="1" x14ac:dyDescent="0.2">
      <c r="A21" s="135" t="str">
        <f>'t1'!A20</f>
        <v>OPERATORI</v>
      </c>
      <c r="B21" s="201" t="str">
        <f>'t1'!B20</f>
        <v>0OP000</v>
      </c>
      <c r="C21" s="590"/>
      <c r="D21" s="591"/>
      <c r="E21" s="592"/>
      <c r="F21" s="593"/>
      <c r="G21" s="592"/>
      <c r="H21" s="593"/>
      <c r="I21" s="590"/>
      <c r="J21" s="591"/>
      <c r="K21" s="593"/>
      <c r="L21" s="591"/>
      <c r="M21" s="593"/>
      <c r="N21" s="591"/>
      <c r="O21" s="593"/>
      <c r="P21" s="591"/>
      <c r="Q21" s="593"/>
      <c r="R21" s="591"/>
      <c r="S21" s="593"/>
      <c r="T21" s="591"/>
      <c r="U21" s="394">
        <f t="shared" si="2"/>
        <v>0</v>
      </c>
      <c r="V21" s="395">
        <f t="shared" si="2"/>
        <v>0</v>
      </c>
      <c r="W21" s="708">
        <f>'t1'!M20</f>
        <v>0</v>
      </c>
    </row>
    <row r="22" spans="1:23" ht="12" customHeight="1" thickBot="1" x14ac:dyDescent="0.25">
      <c r="A22" s="135" t="str">
        <f>'t1'!A21</f>
        <v>CONTRATTISTI</v>
      </c>
      <c r="B22" s="201" t="str">
        <f>'t1'!B21</f>
        <v>000061</v>
      </c>
      <c r="C22" s="590"/>
      <c r="D22" s="591"/>
      <c r="E22" s="592"/>
      <c r="F22" s="593"/>
      <c r="G22" s="592"/>
      <c r="H22" s="593"/>
      <c r="I22" s="590"/>
      <c r="J22" s="591"/>
      <c r="K22" s="593"/>
      <c r="L22" s="591"/>
      <c r="M22" s="593"/>
      <c r="N22" s="591"/>
      <c r="O22" s="593"/>
      <c r="P22" s="591"/>
      <c r="Q22" s="593"/>
      <c r="R22" s="591"/>
      <c r="S22" s="593"/>
      <c r="T22" s="591"/>
      <c r="U22" s="394">
        <f t="shared" si="2"/>
        <v>0</v>
      </c>
      <c r="V22" s="395">
        <f t="shared" si="2"/>
        <v>0</v>
      </c>
      <c r="W22" s="708">
        <f>'t1'!M21</f>
        <v>0</v>
      </c>
    </row>
    <row r="23" spans="1:23" ht="12.75" customHeight="1" thickTop="1" thickBot="1" x14ac:dyDescent="0.25">
      <c r="A23" s="78" t="s">
        <v>60</v>
      </c>
      <c r="B23" s="79"/>
      <c r="C23" s="396">
        <f t="shared" ref="C23:V23" si="3">SUM(C7:C22)</f>
        <v>0</v>
      </c>
      <c r="D23" s="398">
        <f t="shared" si="3"/>
        <v>0</v>
      </c>
      <c r="E23" s="469">
        <f t="shared" si="3"/>
        <v>0</v>
      </c>
      <c r="F23" s="398">
        <f t="shared" si="3"/>
        <v>0</v>
      </c>
      <c r="G23" s="469">
        <f t="shared" si="3"/>
        <v>0</v>
      </c>
      <c r="H23" s="398">
        <f t="shared" si="3"/>
        <v>0</v>
      </c>
      <c r="I23" s="469">
        <f t="shared" si="3"/>
        <v>0</v>
      </c>
      <c r="J23" s="398">
        <f t="shared" si="3"/>
        <v>0</v>
      </c>
      <c r="K23" s="469">
        <f t="shared" si="3"/>
        <v>0</v>
      </c>
      <c r="L23" s="398">
        <f t="shared" si="3"/>
        <v>0</v>
      </c>
      <c r="M23" s="469">
        <f t="shared" si="3"/>
        <v>0</v>
      </c>
      <c r="N23" s="398">
        <f t="shared" si="3"/>
        <v>0</v>
      </c>
      <c r="O23" s="469">
        <f t="shared" si="3"/>
        <v>0</v>
      </c>
      <c r="P23" s="398">
        <f t="shared" si="3"/>
        <v>0</v>
      </c>
      <c r="Q23" s="469">
        <f t="shared" si="3"/>
        <v>0</v>
      </c>
      <c r="R23" s="398">
        <f t="shared" si="3"/>
        <v>0</v>
      </c>
      <c r="S23" s="469">
        <f t="shared" si="3"/>
        <v>0</v>
      </c>
      <c r="T23" s="398">
        <f t="shared" si="3"/>
        <v>0</v>
      </c>
      <c r="U23" s="396">
        <f t="shared" si="3"/>
        <v>0</v>
      </c>
      <c r="V23" s="397">
        <f t="shared" si="3"/>
        <v>0</v>
      </c>
    </row>
    <row r="25" spans="1:23" ht="9.75" customHeight="1" x14ac:dyDescent="0.2">
      <c r="A25" s="18" t="str">
        <f>'t1'!$A$23</f>
        <v>(a) personale a tempo indeterminato al quale viene applicato un contratto di lavoro di tipo privatistico (es.:tipografico,chimico,edile,metalmeccanico,portierato, ecc.)</v>
      </c>
      <c r="B25" s="2"/>
      <c r="C25" s="3"/>
      <c r="D25" s="3"/>
      <c r="E25" s="3"/>
      <c r="F25" s="3"/>
      <c r="G25" s="3"/>
      <c r="H25" s="3"/>
      <c r="I25" s="3"/>
      <c r="J25" s="3"/>
      <c r="K25" s="3"/>
      <c r="L25" s="3"/>
      <c r="M25" s="3"/>
      <c r="N25" s="3"/>
      <c r="O25" s="3"/>
      <c r="P25" s="3"/>
      <c r="Q25" s="3"/>
      <c r="R25" s="3"/>
      <c r="S25" s="3"/>
      <c r="T25" s="3"/>
    </row>
    <row r="26" spans="1:23" s="3" customFormat="1" x14ac:dyDescent="0.2">
      <c r="A26" s="18"/>
      <c r="B26" s="2"/>
    </row>
    <row r="27" spans="1:23" x14ac:dyDescent="0.2">
      <c r="A27" s="69" t="s">
        <v>140</v>
      </c>
    </row>
  </sheetData>
  <sheetProtection algorithmName="SHA-512" hashValue="RgCja+En8Q8ZaNgY5pBCwnN/EdewIYnVrf6RagHnCM8B9kcRFrqC3qOVX8oETHmTt8q/v4pBYMBNq61Akd9MeQ==" saltValue="BjEjbRLdUIyabNw3D+OpMA==" spinCount="100000" sheet="1" formatColumns="0" selectLockedCells="1"/>
  <mergeCells count="22">
    <mergeCell ref="U4:V4"/>
    <mergeCell ref="K4:L4"/>
    <mergeCell ref="S4:T4"/>
    <mergeCell ref="Q4:R4"/>
    <mergeCell ref="O4:P4"/>
    <mergeCell ref="M4:N4"/>
    <mergeCell ref="S5:T5"/>
    <mergeCell ref="K5:L5"/>
    <mergeCell ref="A1:P1"/>
    <mergeCell ref="G4:H4"/>
    <mergeCell ref="C4:D4"/>
    <mergeCell ref="E4:F4"/>
    <mergeCell ref="J2:V2"/>
    <mergeCell ref="I4:J4"/>
    <mergeCell ref="C5:D5"/>
    <mergeCell ref="U5:V5"/>
    <mergeCell ref="Q5:R5"/>
    <mergeCell ref="E5:F5"/>
    <mergeCell ref="O5:P5"/>
    <mergeCell ref="M5:N5"/>
    <mergeCell ref="G5:H5"/>
    <mergeCell ref="I5:J5"/>
  </mergeCells>
  <phoneticPr fontId="30" type="noConversion"/>
  <conditionalFormatting sqref="A7:V22">
    <cfRule type="expression" dxfId="42" priority="4" stopIfTrue="1">
      <formula>$W7&gt;0</formula>
    </cfRule>
  </conditionalFormatting>
  <printOptions horizontalCentered="1" verticalCentered="1"/>
  <pageMargins left="0" right="0" top="0.19685039370078741" bottom="0.15748031496062992" header="0.15748031496062992" footer="0.15748031496062992"/>
  <pageSetup paperSize="9" scale="70"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oglio14"/>
  <dimension ref="A1:Y24"/>
  <sheetViews>
    <sheetView showGridLines="0" workbookViewId="0">
      <pane xSplit="2" ySplit="5" topLeftCell="C6" activePane="bottomRight" state="frozen"/>
      <selection activeCell="C4" sqref="C4:C6"/>
      <selection pane="topRight" activeCell="C4" sqref="C4:C6"/>
      <selection pane="bottomLeft" activeCell="C4" sqref="C4:C6"/>
      <selection pane="bottomRight" activeCell="L19" sqref="L19"/>
    </sheetView>
  </sheetViews>
  <sheetFormatPr defaultColWidth="10.6640625" defaultRowHeight="11.25" x14ac:dyDescent="0.2"/>
  <cols>
    <col min="1" max="1" width="37.5" style="51" customWidth="1"/>
    <col min="2" max="2" width="10.5" style="53" customWidth="1"/>
    <col min="3" max="22" width="8.33203125" style="51" customWidth="1"/>
    <col min="23" max="23" width="10" style="51" customWidth="1"/>
    <col min="24" max="24" width="10.6640625" style="51" customWidth="1"/>
    <col min="25" max="25" width="0" style="51" hidden="1" customWidth="1"/>
    <col min="26" max="16384" width="10.6640625" style="51"/>
  </cols>
  <sheetData>
    <row r="1" spans="1:25" s="3" customFormat="1" ht="43.5" customHeight="1" x14ac:dyDescent="0.2">
      <c r="A1" s="1447" t="str">
        <f>'t1'!A1</f>
        <v>ENTI PUBBLICI NON ECONOMICI - anno 2024</v>
      </c>
      <c r="B1" s="1447"/>
      <c r="C1" s="1447"/>
      <c r="D1" s="1447"/>
      <c r="E1" s="1447"/>
      <c r="F1" s="1447"/>
      <c r="G1" s="1447"/>
      <c r="H1" s="1447"/>
      <c r="I1" s="1447"/>
      <c r="J1" s="1447"/>
      <c r="K1" s="1447"/>
      <c r="L1" s="1447"/>
      <c r="M1" s="1447"/>
      <c r="N1" s="1447"/>
      <c r="O1" s="1447"/>
      <c r="P1" s="1447"/>
      <c r="Q1" s="1447"/>
      <c r="R1" s="1447"/>
      <c r="S1" s="1447"/>
      <c r="T1" s="1447"/>
      <c r="U1" s="1447"/>
      <c r="V1" s="1447"/>
      <c r="X1" s="285"/>
    </row>
    <row r="2" spans="1:25" ht="30" customHeight="1" thickBot="1" x14ac:dyDescent="0.25">
      <c r="A2" s="52"/>
      <c r="P2" s="1489"/>
      <c r="Q2" s="1489"/>
      <c r="R2" s="1489"/>
      <c r="S2" s="1489"/>
      <c r="T2" s="1489"/>
      <c r="U2" s="1489"/>
      <c r="V2" s="1489"/>
      <c r="W2" s="1489"/>
      <c r="X2" s="1489"/>
    </row>
    <row r="3" spans="1:25" ht="16.5" customHeight="1" thickBot="1" x14ac:dyDescent="0.25">
      <c r="A3" s="54"/>
      <c r="B3" s="55"/>
      <c r="C3" s="56" t="s">
        <v>235</v>
      </c>
      <c r="D3" s="57"/>
      <c r="E3" s="57"/>
      <c r="F3" s="57"/>
      <c r="G3" s="57"/>
      <c r="H3" s="57"/>
      <c r="I3" s="57"/>
      <c r="J3" s="57"/>
      <c r="K3" s="57"/>
      <c r="L3" s="57"/>
      <c r="M3" s="57"/>
      <c r="N3" s="57"/>
      <c r="O3" s="57"/>
      <c r="P3" s="57"/>
      <c r="Q3" s="57"/>
      <c r="R3" s="57"/>
      <c r="S3" s="57"/>
      <c r="T3" s="58"/>
      <c r="U3" s="57"/>
      <c r="V3" s="58"/>
      <c r="W3" s="57"/>
      <c r="X3" s="58"/>
    </row>
    <row r="4" spans="1:25" ht="16.5" customHeight="1" thickTop="1" x14ac:dyDescent="0.2">
      <c r="A4" s="256" t="s">
        <v>137</v>
      </c>
      <c r="B4" s="59" t="s">
        <v>57</v>
      </c>
      <c r="C4" s="1520" t="s">
        <v>77</v>
      </c>
      <c r="D4" s="1521"/>
      <c r="E4" s="1520" t="s">
        <v>78</v>
      </c>
      <c r="F4" s="1521"/>
      <c r="G4" s="1520" t="s">
        <v>79</v>
      </c>
      <c r="H4" s="1521"/>
      <c r="I4" s="1520" t="s">
        <v>80</v>
      </c>
      <c r="J4" s="1521"/>
      <c r="K4" s="1520" t="s">
        <v>81</v>
      </c>
      <c r="L4" s="1521"/>
      <c r="M4" s="1520" t="s">
        <v>82</v>
      </c>
      <c r="N4" s="1521"/>
      <c r="O4" s="1520" t="s">
        <v>83</v>
      </c>
      <c r="P4" s="1521"/>
      <c r="Q4" s="1520" t="s">
        <v>84</v>
      </c>
      <c r="R4" s="1521"/>
      <c r="S4" s="1520" t="s">
        <v>366</v>
      </c>
      <c r="T4" s="1521"/>
      <c r="U4" s="1520" t="s">
        <v>367</v>
      </c>
      <c r="V4" s="1521"/>
      <c r="W4" s="60" t="s">
        <v>60</v>
      </c>
      <c r="X4" s="119"/>
    </row>
    <row r="5" spans="1:25" ht="12" thickBot="1" x14ac:dyDescent="0.25">
      <c r="A5" s="715" t="s">
        <v>593</v>
      </c>
      <c r="B5" s="61"/>
      <c r="C5" s="62" t="s">
        <v>75</v>
      </c>
      <c r="D5" s="63" t="s">
        <v>76</v>
      </c>
      <c r="E5" s="62" t="s">
        <v>75</v>
      </c>
      <c r="F5" s="63" t="s">
        <v>76</v>
      </c>
      <c r="G5" s="62" t="s">
        <v>75</v>
      </c>
      <c r="H5" s="63" t="s">
        <v>76</v>
      </c>
      <c r="I5" s="62" t="s">
        <v>75</v>
      </c>
      <c r="J5" s="63" t="s">
        <v>76</v>
      </c>
      <c r="K5" s="62" t="s">
        <v>75</v>
      </c>
      <c r="L5" s="63" t="s">
        <v>76</v>
      </c>
      <c r="M5" s="62" t="s">
        <v>75</v>
      </c>
      <c r="N5" s="63" t="s">
        <v>76</v>
      </c>
      <c r="O5" s="62" t="s">
        <v>75</v>
      </c>
      <c r="P5" s="63" t="s">
        <v>76</v>
      </c>
      <c r="Q5" s="62" t="s">
        <v>75</v>
      </c>
      <c r="R5" s="63" t="s">
        <v>76</v>
      </c>
      <c r="S5" s="62" t="s">
        <v>75</v>
      </c>
      <c r="T5" s="64" t="s">
        <v>76</v>
      </c>
      <c r="U5" s="62" t="s">
        <v>75</v>
      </c>
      <c r="V5" s="64" t="s">
        <v>76</v>
      </c>
      <c r="W5" s="62" t="s">
        <v>75</v>
      </c>
      <c r="X5" s="64" t="s">
        <v>76</v>
      </c>
    </row>
    <row r="6" spans="1:25" ht="12.75" customHeight="1" thickTop="1" x14ac:dyDescent="0.2">
      <c r="A6" s="17" t="str">
        <f>'t1'!A6</f>
        <v>DIRETTORE GENERALE</v>
      </c>
      <c r="B6" s="208" t="str">
        <f>'t1'!B6</f>
        <v>0D0097</v>
      </c>
      <c r="C6" s="212"/>
      <c r="D6" s="213"/>
      <c r="E6" s="212"/>
      <c r="F6" s="213"/>
      <c r="G6" s="212"/>
      <c r="H6" s="213"/>
      <c r="I6" s="212"/>
      <c r="J6" s="213"/>
      <c r="K6" s="212"/>
      <c r="L6" s="213"/>
      <c r="M6" s="214"/>
      <c r="N6" s="215"/>
      <c r="O6" s="212"/>
      <c r="P6" s="213"/>
      <c r="Q6" s="212"/>
      <c r="R6" s="213"/>
      <c r="S6" s="216"/>
      <c r="T6" s="217"/>
      <c r="U6" s="216"/>
      <c r="V6" s="217"/>
      <c r="W6" s="402">
        <f>SUM(C6,E6,G6,I6,K6,M6,O6,Q6,S6,U6)</f>
        <v>0</v>
      </c>
      <c r="X6" s="403">
        <f>SUM(D6,F6,H6,J6,L6,N6,P6,R6,T6,V6)</f>
        <v>0</v>
      </c>
      <c r="Y6" s="709">
        <f>'t1'!M6</f>
        <v>0</v>
      </c>
    </row>
    <row r="7" spans="1:25" ht="12.75" customHeight="1" x14ac:dyDescent="0.2">
      <c r="A7" s="135" t="str">
        <f>'t1'!A7</f>
        <v>DIRIGENTE I FASCIA</v>
      </c>
      <c r="B7" s="201" t="str">
        <f>'t1'!B7</f>
        <v>0D0077</v>
      </c>
      <c r="C7" s="212"/>
      <c r="D7" s="213"/>
      <c r="E7" s="212"/>
      <c r="F7" s="213"/>
      <c r="G7" s="212"/>
      <c r="H7" s="213"/>
      <c r="I7" s="212"/>
      <c r="J7" s="213"/>
      <c r="K7" s="212"/>
      <c r="L7" s="213"/>
      <c r="M7" s="214"/>
      <c r="N7" s="215"/>
      <c r="O7" s="212"/>
      <c r="P7" s="213"/>
      <c r="Q7" s="212"/>
      <c r="R7" s="213"/>
      <c r="S7" s="216"/>
      <c r="T7" s="218"/>
      <c r="U7" s="216"/>
      <c r="V7" s="218"/>
      <c r="W7" s="402">
        <f t="shared" ref="W7:W16" si="0">SUM(C7,E7,G7,I7,K7,M7,O7,Q7,S7,U7)</f>
        <v>0</v>
      </c>
      <c r="X7" s="404">
        <f t="shared" ref="X7:X16" si="1">SUM(D7,F7,H7,J7,L7,N7,P7,R7,T7,V7)</f>
        <v>0</v>
      </c>
      <c r="Y7" s="709">
        <f>'t1'!M7</f>
        <v>0</v>
      </c>
    </row>
    <row r="8" spans="1:25" ht="12.75" customHeight="1" x14ac:dyDescent="0.2">
      <c r="A8" s="135" t="str">
        <f>'t1'!A8</f>
        <v>DIRIGENTE I FASCIA A TEMPO DETERM.</v>
      </c>
      <c r="B8" s="201" t="str">
        <f>'t1'!B8</f>
        <v>0D0078</v>
      </c>
      <c r="C8" s="212"/>
      <c r="D8" s="213"/>
      <c r="E8" s="212"/>
      <c r="F8" s="213"/>
      <c r="G8" s="212"/>
      <c r="H8" s="213"/>
      <c r="I8" s="212"/>
      <c r="J8" s="213"/>
      <c r="K8" s="212"/>
      <c r="L8" s="213"/>
      <c r="M8" s="214"/>
      <c r="N8" s="215"/>
      <c r="O8" s="212"/>
      <c r="P8" s="213"/>
      <c r="Q8" s="212"/>
      <c r="R8" s="213"/>
      <c r="S8" s="216"/>
      <c r="T8" s="218"/>
      <c r="U8" s="216"/>
      <c r="V8" s="218"/>
      <c r="W8" s="402">
        <f t="shared" si="0"/>
        <v>0</v>
      </c>
      <c r="X8" s="404">
        <f t="shared" si="1"/>
        <v>0</v>
      </c>
      <c r="Y8" s="709">
        <f>'t1'!M8</f>
        <v>0</v>
      </c>
    </row>
    <row r="9" spans="1:25" ht="12.75" customHeight="1" x14ac:dyDescent="0.2">
      <c r="A9" s="135" t="str">
        <f>'t1'!A9</f>
        <v>DIRIGENTE II FASCIA</v>
      </c>
      <c r="B9" s="201" t="str">
        <f>'t1'!B9</f>
        <v>0D0079</v>
      </c>
      <c r="C9" s="212"/>
      <c r="D9" s="213"/>
      <c r="E9" s="212"/>
      <c r="F9" s="213"/>
      <c r="G9" s="212"/>
      <c r="H9" s="213"/>
      <c r="I9" s="212"/>
      <c r="J9" s="213"/>
      <c r="K9" s="212"/>
      <c r="L9" s="213"/>
      <c r="M9" s="214"/>
      <c r="N9" s="215"/>
      <c r="O9" s="212"/>
      <c r="P9" s="213"/>
      <c r="Q9" s="212"/>
      <c r="R9" s="213"/>
      <c r="S9" s="216"/>
      <c r="T9" s="218"/>
      <c r="U9" s="216"/>
      <c r="V9" s="218"/>
      <c r="W9" s="402">
        <f t="shared" si="0"/>
        <v>0</v>
      </c>
      <c r="X9" s="404">
        <f t="shared" si="1"/>
        <v>0</v>
      </c>
      <c r="Y9" s="709">
        <f>'t1'!M9</f>
        <v>0</v>
      </c>
    </row>
    <row r="10" spans="1:25" ht="12.75" customHeight="1" x14ac:dyDescent="0.2">
      <c r="A10" s="135" t="str">
        <f>'t1'!A10</f>
        <v>DIRIGENTE II FASCIA A TEMPO DETERM.</v>
      </c>
      <c r="B10" s="201" t="str">
        <f>'t1'!B10</f>
        <v>0D0080</v>
      </c>
      <c r="C10" s="212"/>
      <c r="D10" s="213"/>
      <c r="E10" s="212"/>
      <c r="F10" s="213"/>
      <c r="G10" s="212"/>
      <c r="H10" s="213"/>
      <c r="I10" s="212"/>
      <c r="J10" s="213"/>
      <c r="K10" s="212"/>
      <c r="L10" s="213"/>
      <c r="M10" s="214"/>
      <c r="N10" s="215"/>
      <c r="O10" s="212"/>
      <c r="P10" s="213"/>
      <c r="Q10" s="212"/>
      <c r="R10" s="213"/>
      <c r="S10" s="216"/>
      <c r="T10" s="218"/>
      <c r="U10" s="216"/>
      <c r="V10" s="218"/>
      <c r="W10" s="402">
        <f t="shared" si="0"/>
        <v>0</v>
      </c>
      <c r="X10" s="404">
        <f t="shared" si="1"/>
        <v>0</v>
      </c>
      <c r="Y10" s="709">
        <f>'t1'!M10</f>
        <v>0</v>
      </c>
    </row>
    <row r="11" spans="1:25" ht="12.75" customHeight="1" x14ac:dyDescent="0.2">
      <c r="A11" s="135" t="str">
        <f>'t1'!A11</f>
        <v>MEDICO II FASCIA T.P.</v>
      </c>
      <c r="B11" s="201" t="str">
        <f>'t1'!B11</f>
        <v>0D0584</v>
      </c>
      <c r="C11" s="212"/>
      <c r="D11" s="213"/>
      <c r="E11" s="212"/>
      <c r="F11" s="213"/>
      <c r="G11" s="212"/>
      <c r="H11" s="213"/>
      <c r="I11" s="212"/>
      <c r="J11" s="213"/>
      <c r="K11" s="212"/>
      <c r="L11" s="213"/>
      <c r="M11" s="214"/>
      <c r="N11" s="215"/>
      <c r="O11" s="212"/>
      <c r="P11" s="213"/>
      <c r="Q11" s="212"/>
      <c r="R11" s="213"/>
      <c r="S11" s="216"/>
      <c r="T11" s="218"/>
      <c r="U11" s="216"/>
      <c r="V11" s="218"/>
      <c r="W11" s="402">
        <f t="shared" si="0"/>
        <v>0</v>
      </c>
      <c r="X11" s="404">
        <f t="shared" si="1"/>
        <v>0</v>
      </c>
      <c r="Y11" s="709">
        <f>'t1'!M11</f>
        <v>0</v>
      </c>
    </row>
    <row r="12" spans="1:25" ht="12.75" customHeight="1" x14ac:dyDescent="0.2">
      <c r="A12" s="135" t="str">
        <f>'t1'!A12</f>
        <v>MEDICO I FASCIA T.P.</v>
      </c>
      <c r="B12" s="201" t="str">
        <f>'t1'!B12</f>
        <v>0D0585</v>
      </c>
      <c r="C12" s="212"/>
      <c r="D12" s="213"/>
      <c r="E12" s="212"/>
      <c r="F12" s="213"/>
      <c r="G12" s="212"/>
      <c r="H12" s="213"/>
      <c r="I12" s="212"/>
      <c r="J12" s="213"/>
      <c r="K12" s="212"/>
      <c r="L12" s="213"/>
      <c r="M12" s="214"/>
      <c r="N12" s="215"/>
      <c r="O12" s="212"/>
      <c r="P12" s="213"/>
      <c r="Q12" s="212"/>
      <c r="R12" s="213"/>
      <c r="S12" s="216"/>
      <c r="T12" s="218"/>
      <c r="U12" s="216"/>
      <c r="V12" s="218"/>
      <c r="W12" s="402">
        <f t="shared" si="0"/>
        <v>0</v>
      </c>
      <c r="X12" s="404">
        <f t="shared" si="1"/>
        <v>0</v>
      </c>
      <c r="Y12" s="709">
        <f>'t1'!M12</f>
        <v>0</v>
      </c>
    </row>
    <row r="13" spans="1:25" ht="12.75" customHeight="1" x14ac:dyDescent="0.2">
      <c r="A13" s="135" t="str">
        <f>'t1'!A13</f>
        <v>MEDICO II FASCIA T.D.</v>
      </c>
      <c r="B13" s="201" t="str">
        <f>'t1'!B13</f>
        <v>0D0586</v>
      </c>
      <c r="C13" s="212"/>
      <c r="D13" s="213"/>
      <c r="E13" s="212"/>
      <c r="F13" s="213"/>
      <c r="G13" s="212"/>
      <c r="H13" s="213"/>
      <c r="I13" s="212"/>
      <c r="J13" s="213"/>
      <c r="K13" s="212"/>
      <c r="L13" s="213"/>
      <c r="M13" s="214"/>
      <c r="N13" s="215"/>
      <c r="O13" s="212"/>
      <c r="P13" s="213"/>
      <c r="Q13" s="212"/>
      <c r="R13" s="213"/>
      <c r="S13" s="216"/>
      <c r="T13" s="218"/>
      <c r="U13" s="216"/>
      <c r="V13" s="218"/>
      <c r="W13" s="402">
        <f t="shared" si="0"/>
        <v>0</v>
      </c>
      <c r="X13" s="404">
        <f t="shared" si="1"/>
        <v>0</v>
      </c>
      <c r="Y13" s="709">
        <f>'t1'!M13</f>
        <v>0</v>
      </c>
    </row>
    <row r="14" spans="1:25" ht="12.75" customHeight="1" x14ac:dyDescent="0.2">
      <c r="A14" s="135" t="str">
        <f>'t1'!A14</f>
        <v>MEDICO I FASCIA T.D.</v>
      </c>
      <c r="B14" s="201" t="str">
        <f>'t1'!B14</f>
        <v>0D0496</v>
      </c>
      <c r="C14" s="212"/>
      <c r="D14" s="213"/>
      <c r="E14" s="212"/>
      <c r="F14" s="213"/>
      <c r="G14" s="212"/>
      <c r="H14" s="213"/>
      <c r="I14" s="212"/>
      <c r="J14" s="213"/>
      <c r="K14" s="212"/>
      <c r="L14" s="213"/>
      <c r="M14" s="214"/>
      <c r="N14" s="215"/>
      <c r="O14" s="212"/>
      <c r="P14" s="213"/>
      <c r="Q14" s="212"/>
      <c r="R14" s="213"/>
      <c r="S14" s="216"/>
      <c r="T14" s="218"/>
      <c r="U14" s="216"/>
      <c r="V14" s="218"/>
      <c r="W14" s="402">
        <f t="shared" si="0"/>
        <v>0</v>
      </c>
      <c r="X14" s="404">
        <f t="shared" si="1"/>
        <v>0</v>
      </c>
      <c r="Y14" s="709">
        <f>'t1'!M14</f>
        <v>0</v>
      </c>
    </row>
    <row r="15" spans="1:25" ht="12.75" customHeight="1" x14ac:dyDescent="0.2">
      <c r="A15" s="135" t="str">
        <f>'t1'!A15</f>
        <v>PROFESSIONISTI II LIVELLO</v>
      </c>
      <c r="B15" s="201" t="str">
        <f>'t1'!B15</f>
        <v>0D0PR2</v>
      </c>
      <c r="C15" s="212"/>
      <c r="D15" s="213"/>
      <c r="E15" s="212"/>
      <c r="F15" s="213"/>
      <c r="G15" s="212"/>
      <c r="H15" s="213"/>
      <c r="I15" s="212"/>
      <c r="J15" s="213"/>
      <c r="K15" s="212"/>
      <c r="L15" s="213"/>
      <c r="M15" s="214"/>
      <c r="N15" s="215"/>
      <c r="O15" s="212"/>
      <c r="P15" s="213"/>
      <c r="Q15" s="212"/>
      <c r="R15" s="213"/>
      <c r="S15" s="216"/>
      <c r="T15" s="218"/>
      <c r="U15" s="216"/>
      <c r="V15" s="218"/>
      <c r="W15" s="402">
        <f t="shared" si="0"/>
        <v>0</v>
      </c>
      <c r="X15" s="404">
        <f t="shared" si="1"/>
        <v>0</v>
      </c>
      <c r="Y15" s="709">
        <f>'t1'!M15</f>
        <v>0</v>
      </c>
    </row>
    <row r="16" spans="1:25" ht="12.75" customHeight="1" x14ac:dyDescent="0.2">
      <c r="A16" s="135" t="str">
        <f>'t1'!A16</f>
        <v>PROFESSIONISTI I LIVELLO</v>
      </c>
      <c r="B16" s="201" t="str">
        <f>'t1'!B16</f>
        <v>0D0PR1</v>
      </c>
      <c r="C16" s="212"/>
      <c r="D16" s="213"/>
      <c r="E16" s="212"/>
      <c r="F16" s="213"/>
      <c r="G16" s="212"/>
      <c r="H16" s="213"/>
      <c r="I16" s="212"/>
      <c r="J16" s="213"/>
      <c r="K16" s="212"/>
      <c r="L16" s="213"/>
      <c r="M16" s="214"/>
      <c r="N16" s="215"/>
      <c r="O16" s="212"/>
      <c r="P16" s="213"/>
      <c r="Q16" s="212"/>
      <c r="R16" s="213"/>
      <c r="S16" s="216"/>
      <c r="T16" s="218"/>
      <c r="U16" s="216"/>
      <c r="V16" s="218"/>
      <c r="W16" s="402">
        <f t="shared" si="0"/>
        <v>0</v>
      </c>
      <c r="X16" s="404">
        <f t="shared" si="1"/>
        <v>0</v>
      </c>
      <c r="Y16" s="709">
        <f>'t1'!M16</f>
        <v>0</v>
      </c>
    </row>
    <row r="17" spans="1:25" ht="12.75" customHeight="1" x14ac:dyDescent="0.2">
      <c r="A17" s="135" t="str">
        <f>'t1'!A17</f>
        <v>ELEVATE PROFESSIONALITA'</v>
      </c>
      <c r="B17" s="201" t="str">
        <f>'t1'!B17</f>
        <v>0EP981</v>
      </c>
      <c r="C17" s="212"/>
      <c r="D17" s="213"/>
      <c r="E17" s="212"/>
      <c r="F17" s="213"/>
      <c r="G17" s="212"/>
      <c r="H17" s="213"/>
      <c r="I17" s="212"/>
      <c r="J17" s="213"/>
      <c r="K17" s="212"/>
      <c r="L17" s="213"/>
      <c r="M17" s="214"/>
      <c r="N17" s="215"/>
      <c r="O17" s="212"/>
      <c r="P17" s="213"/>
      <c r="Q17" s="212"/>
      <c r="R17" s="213"/>
      <c r="S17" s="216"/>
      <c r="T17" s="218"/>
      <c r="U17" s="216"/>
      <c r="V17" s="218"/>
      <c r="W17" s="402">
        <f t="shared" ref="W17:X21" si="2">SUM(C17,E17,G17,I17,K17,M17,O17,Q17,S17,U17)</f>
        <v>0</v>
      </c>
      <c r="X17" s="404">
        <f t="shared" si="2"/>
        <v>0</v>
      </c>
      <c r="Y17" s="709">
        <f>'t1'!M17</f>
        <v>0</v>
      </c>
    </row>
    <row r="18" spans="1:25" ht="12.75" customHeight="1" x14ac:dyDescent="0.2">
      <c r="A18" s="135" t="str">
        <f>'t1'!A18</f>
        <v>FUNZIONARI</v>
      </c>
      <c r="B18" s="201" t="str">
        <f>'t1'!B18</f>
        <v>0FZ000</v>
      </c>
      <c r="C18" s="212"/>
      <c r="D18" s="213"/>
      <c r="E18" s="212"/>
      <c r="F18" s="213"/>
      <c r="G18" s="212"/>
      <c r="H18" s="213"/>
      <c r="I18" s="212"/>
      <c r="J18" s="213"/>
      <c r="K18" s="212"/>
      <c r="L18" s="213"/>
      <c r="M18" s="214"/>
      <c r="N18" s="215"/>
      <c r="O18" s="212"/>
      <c r="P18" s="213"/>
      <c r="Q18" s="212"/>
      <c r="R18" s="213"/>
      <c r="S18" s="216"/>
      <c r="T18" s="218"/>
      <c r="U18" s="216"/>
      <c r="V18" s="218"/>
      <c r="W18" s="402">
        <f t="shared" si="2"/>
        <v>0</v>
      </c>
      <c r="X18" s="404">
        <f t="shared" si="2"/>
        <v>0</v>
      </c>
      <c r="Y18" s="709">
        <f>'t1'!M18</f>
        <v>0</v>
      </c>
    </row>
    <row r="19" spans="1:25" ht="12.75" customHeight="1" x14ac:dyDescent="0.2">
      <c r="A19" s="135" t="str">
        <f>'t1'!A19</f>
        <v>ASSISTENTI</v>
      </c>
      <c r="B19" s="201" t="str">
        <f>'t1'!B19</f>
        <v>0AS000</v>
      </c>
      <c r="C19" s="212"/>
      <c r="D19" s="213"/>
      <c r="E19" s="212"/>
      <c r="F19" s="213"/>
      <c r="G19" s="212"/>
      <c r="H19" s="213"/>
      <c r="I19" s="212"/>
      <c r="J19" s="213">
        <v>1</v>
      </c>
      <c r="K19" s="212"/>
      <c r="L19" s="213"/>
      <c r="M19" s="214"/>
      <c r="N19" s="215"/>
      <c r="O19" s="212"/>
      <c r="P19" s="213"/>
      <c r="Q19" s="212"/>
      <c r="R19" s="213"/>
      <c r="S19" s="216"/>
      <c r="T19" s="218"/>
      <c r="U19" s="216"/>
      <c r="V19" s="218"/>
      <c r="W19" s="402">
        <f t="shared" si="2"/>
        <v>0</v>
      </c>
      <c r="X19" s="404">
        <f t="shared" si="2"/>
        <v>1</v>
      </c>
      <c r="Y19" s="709">
        <f>'t1'!M19</f>
        <v>1</v>
      </c>
    </row>
    <row r="20" spans="1:25" ht="12.75" customHeight="1" x14ac:dyDescent="0.2">
      <c r="A20" s="135" t="str">
        <f>'t1'!A20</f>
        <v>OPERATORI</v>
      </c>
      <c r="B20" s="201" t="str">
        <f>'t1'!B20</f>
        <v>0OP000</v>
      </c>
      <c r="C20" s="212"/>
      <c r="D20" s="213"/>
      <c r="E20" s="212"/>
      <c r="F20" s="213"/>
      <c r="G20" s="212"/>
      <c r="H20" s="213"/>
      <c r="I20" s="212"/>
      <c r="J20" s="213"/>
      <c r="K20" s="212"/>
      <c r="L20" s="213"/>
      <c r="M20" s="214"/>
      <c r="N20" s="215"/>
      <c r="O20" s="212"/>
      <c r="P20" s="213"/>
      <c r="Q20" s="212"/>
      <c r="R20" s="213"/>
      <c r="S20" s="216"/>
      <c r="T20" s="218"/>
      <c r="U20" s="216"/>
      <c r="V20" s="218"/>
      <c r="W20" s="402">
        <f t="shared" si="2"/>
        <v>0</v>
      </c>
      <c r="X20" s="404">
        <f t="shared" si="2"/>
        <v>0</v>
      </c>
      <c r="Y20" s="709">
        <f>'t1'!M20</f>
        <v>0</v>
      </c>
    </row>
    <row r="21" spans="1:25" ht="12.75" customHeight="1" thickBot="1" x14ac:dyDescent="0.25">
      <c r="A21" s="135" t="str">
        <f>'t1'!A21</f>
        <v>CONTRATTISTI</v>
      </c>
      <c r="B21" s="201" t="str">
        <f>'t1'!B21</f>
        <v>000061</v>
      </c>
      <c r="C21" s="212"/>
      <c r="D21" s="213"/>
      <c r="E21" s="212"/>
      <c r="F21" s="213"/>
      <c r="G21" s="212"/>
      <c r="H21" s="213"/>
      <c r="I21" s="212"/>
      <c r="J21" s="213"/>
      <c r="K21" s="212"/>
      <c r="L21" s="213"/>
      <c r="M21" s="214"/>
      <c r="N21" s="215"/>
      <c r="O21" s="212"/>
      <c r="P21" s="213"/>
      <c r="Q21" s="212"/>
      <c r="R21" s="213"/>
      <c r="S21" s="216"/>
      <c r="T21" s="218"/>
      <c r="U21" s="216"/>
      <c r="V21" s="218"/>
      <c r="W21" s="402">
        <f t="shared" si="2"/>
        <v>0</v>
      </c>
      <c r="X21" s="404">
        <f t="shared" si="2"/>
        <v>0</v>
      </c>
      <c r="Y21" s="709">
        <f>'t1'!M21</f>
        <v>0</v>
      </c>
    </row>
    <row r="22" spans="1:25" ht="17.25" customHeight="1" thickTop="1" thickBot="1" x14ac:dyDescent="0.25">
      <c r="A22" s="65" t="s">
        <v>60</v>
      </c>
      <c r="B22" s="66"/>
      <c r="C22" s="399">
        <f t="shared" ref="C22:X22" si="3">SUM(C6:C21)</f>
        <v>0</v>
      </c>
      <c r="D22" s="400">
        <f t="shared" si="3"/>
        <v>0</v>
      </c>
      <c r="E22" s="399">
        <f t="shared" si="3"/>
        <v>0</v>
      </c>
      <c r="F22" s="400">
        <f t="shared" si="3"/>
        <v>0</v>
      </c>
      <c r="G22" s="399">
        <f t="shared" si="3"/>
        <v>0</v>
      </c>
      <c r="H22" s="400">
        <f t="shared" si="3"/>
        <v>0</v>
      </c>
      <c r="I22" s="399">
        <f t="shared" si="3"/>
        <v>0</v>
      </c>
      <c r="J22" s="400">
        <f t="shared" si="3"/>
        <v>1</v>
      </c>
      <c r="K22" s="399">
        <f t="shared" si="3"/>
        <v>0</v>
      </c>
      <c r="L22" s="400">
        <f t="shared" si="3"/>
        <v>0</v>
      </c>
      <c r="M22" s="399">
        <f t="shared" si="3"/>
        <v>0</v>
      </c>
      <c r="N22" s="400">
        <f t="shared" si="3"/>
        <v>0</v>
      </c>
      <c r="O22" s="399">
        <f t="shared" si="3"/>
        <v>0</v>
      </c>
      <c r="P22" s="400">
        <f t="shared" si="3"/>
        <v>0</v>
      </c>
      <c r="Q22" s="399">
        <f t="shared" si="3"/>
        <v>0</v>
      </c>
      <c r="R22" s="400">
        <f t="shared" si="3"/>
        <v>0</v>
      </c>
      <c r="S22" s="399">
        <f t="shared" si="3"/>
        <v>0</v>
      </c>
      <c r="T22" s="400">
        <f t="shared" si="3"/>
        <v>0</v>
      </c>
      <c r="U22" s="399">
        <f t="shared" si="3"/>
        <v>0</v>
      </c>
      <c r="V22" s="400">
        <f t="shared" si="3"/>
        <v>0</v>
      </c>
      <c r="W22" s="399">
        <f t="shared" si="3"/>
        <v>0</v>
      </c>
      <c r="X22" s="401">
        <f t="shared" si="3"/>
        <v>1</v>
      </c>
      <c r="Y22" s="709"/>
    </row>
    <row r="23" spans="1:25" s="36" customFormat="1" ht="19.5" customHeight="1" x14ac:dyDescent="0.2">
      <c r="A23" s="18" t="str">
        <f>'t1'!$A$23</f>
        <v>(a) personale a tempo indeterminato al quale viene applicato un contratto di lavoro di tipo privatistico (es.:tipografico,chimico,edile,metalmeccanico,portierato, ecc.)</v>
      </c>
      <c r="B23" s="2"/>
      <c r="C23" s="3"/>
      <c r="D23" s="3"/>
      <c r="E23" s="3"/>
      <c r="F23" s="3"/>
      <c r="G23" s="3"/>
      <c r="H23" s="3"/>
      <c r="I23" s="3"/>
      <c r="J23" s="3"/>
      <c r="K23" s="69"/>
      <c r="Y23" s="709"/>
    </row>
    <row r="24" spans="1:25" s="3" customFormat="1" x14ac:dyDescent="0.2">
      <c r="A24" s="18"/>
      <c r="B24" s="2"/>
    </row>
  </sheetData>
  <sheetProtection algorithmName="SHA-512" hashValue="EpbPht3+66RFiu1VHPjrNN4+4sb43tMt1W8um28wqEHkwPsw3cER9ZJ/kHXUywzomLet0FXYdwN8YKiO0JuOlQ==" saltValue="EtNnYYtEaZqYsuN/gD8iRQ==" spinCount="100000" sheet="1" formatColumns="0" selectLockedCells="1"/>
  <mergeCells count="12">
    <mergeCell ref="A1:V1"/>
    <mergeCell ref="C4:D4"/>
    <mergeCell ref="E4:F4"/>
    <mergeCell ref="G4:H4"/>
    <mergeCell ref="I4:J4"/>
    <mergeCell ref="P2:X2"/>
    <mergeCell ref="U4:V4"/>
    <mergeCell ref="K4:L4"/>
    <mergeCell ref="S4:T4"/>
    <mergeCell ref="M4:N4"/>
    <mergeCell ref="O4:P4"/>
    <mergeCell ref="Q4:R4"/>
  </mergeCells>
  <phoneticPr fontId="30" type="noConversion"/>
  <conditionalFormatting sqref="A6:X21">
    <cfRule type="expression" dxfId="41" priority="1" stopIfTrue="1">
      <formula>$Y6&gt;0</formula>
    </cfRule>
  </conditionalFormatting>
  <printOptions horizontalCentered="1" verticalCentered="1"/>
  <pageMargins left="0" right="0" top="0.19685039370078741" bottom="0.15748031496062992" header="0.19685039370078741" footer="0.19685039370078741"/>
  <pageSetup paperSize="9" scale="70"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oglio15"/>
  <dimension ref="A1:AC25"/>
  <sheetViews>
    <sheetView showGridLines="0" zoomScale="85" workbookViewId="0">
      <pane xSplit="2" ySplit="5" topLeftCell="C6" activePane="bottomRight" state="frozen"/>
      <selection activeCell="C4" sqref="C4:C6"/>
      <selection pane="topRight" activeCell="C4" sqref="C4:C6"/>
      <selection pane="bottomLeft" activeCell="C4" sqref="C4:C6"/>
      <selection pane="bottomRight" activeCell="V19" sqref="V19"/>
    </sheetView>
  </sheetViews>
  <sheetFormatPr defaultColWidth="10.6640625" defaultRowHeight="11.25" x14ac:dyDescent="0.2"/>
  <cols>
    <col min="1" max="1" width="46.6640625" style="36" customWidth="1"/>
    <col min="2" max="2" width="8.1640625" style="38" bestFit="1" customWidth="1"/>
    <col min="3" max="4" width="6.6640625" style="36" customWidth="1"/>
    <col min="5" max="24" width="8" style="36" customWidth="1"/>
    <col min="25" max="26" width="6.5" style="36" customWidth="1"/>
    <col min="27" max="28" width="8.1640625" style="36" customWidth="1"/>
    <col min="29" max="29" width="0" style="36" hidden="1" customWidth="1"/>
    <col min="30" max="16384" width="10.6640625" style="36"/>
  </cols>
  <sheetData>
    <row r="1" spans="1:29" s="3" customFormat="1" ht="43.5" customHeight="1" x14ac:dyDescent="0.2">
      <c r="A1" s="1447" t="str">
        <f>'t1'!A1</f>
        <v>ENTI PUBBLICI NON ECONOMICI - anno 2024</v>
      </c>
      <c r="B1" s="1447"/>
      <c r="C1" s="1447"/>
      <c r="D1" s="1447"/>
      <c r="E1" s="1447"/>
      <c r="F1" s="1447"/>
      <c r="G1" s="1447"/>
      <c r="H1" s="1447"/>
      <c r="I1" s="1447"/>
      <c r="J1" s="1447"/>
      <c r="K1" s="1447"/>
      <c r="L1" s="1447"/>
      <c r="M1" s="1447"/>
      <c r="N1" s="1447"/>
      <c r="O1" s="1447"/>
      <c r="P1" s="1447"/>
      <c r="Q1" s="1447"/>
      <c r="R1" s="1447"/>
      <c r="S1" s="1447"/>
      <c r="T1" s="1447"/>
      <c r="U1" s="1447"/>
      <c r="V1" s="1447"/>
      <c r="W1" s="1447"/>
      <c r="X1" s="1447"/>
      <c r="Y1" s="1447"/>
      <c r="AB1" s="285"/>
    </row>
    <row r="2" spans="1:29" ht="30" customHeight="1" thickBot="1" x14ac:dyDescent="0.25">
      <c r="A2" s="37"/>
      <c r="S2" s="1489"/>
      <c r="T2" s="1489"/>
      <c r="U2" s="1489"/>
      <c r="V2" s="1489"/>
      <c r="W2" s="1489"/>
      <c r="X2" s="1489"/>
      <c r="Y2" s="1489"/>
      <c r="Z2" s="1489"/>
      <c r="AA2" s="1489"/>
      <c r="AB2" s="1489"/>
    </row>
    <row r="3" spans="1:29" ht="16.5" customHeight="1" thickBot="1" x14ac:dyDescent="0.25">
      <c r="A3" s="39"/>
      <c r="B3" s="40"/>
      <c r="C3" s="41" t="s">
        <v>236</v>
      </c>
      <c r="D3" s="42"/>
      <c r="E3" s="42"/>
      <c r="F3" s="42"/>
      <c r="G3" s="42"/>
      <c r="H3" s="42"/>
      <c r="I3" s="42"/>
      <c r="J3" s="42"/>
      <c r="K3" s="42"/>
      <c r="L3" s="42"/>
      <c r="M3" s="42"/>
      <c r="N3" s="42"/>
      <c r="O3" s="42"/>
      <c r="P3" s="42"/>
      <c r="Q3" s="42"/>
      <c r="R3" s="42"/>
      <c r="S3" s="42"/>
      <c r="T3" s="42"/>
      <c r="U3" s="42"/>
      <c r="V3" s="42"/>
      <c r="W3" s="42"/>
      <c r="X3" s="43"/>
      <c r="Y3" s="42"/>
      <c r="Z3" s="43"/>
      <c r="AA3" s="42"/>
      <c r="AB3" s="43"/>
    </row>
    <row r="4" spans="1:29" ht="16.5" customHeight="1" thickTop="1" x14ac:dyDescent="0.2">
      <c r="A4" s="255" t="s">
        <v>130</v>
      </c>
      <c r="B4" s="44" t="s">
        <v>57</v>
      </c>
      <c r="C4" s="1522" t="s">
        <v>162</v>
      </c>
      <c r="D4" s="1524"/>
      <c r="E4" s="145" t="s">
        <v>163</v>
      </c>
      <c r="F4" s="144"/>
      <c r="G4" s="1522" t="s">
        <v>67</v>
      </c>
      <c r="H4" s="1524"/>
      <c r="I4" s="1522" t="s">
        <v>68</v>
      </c>
      <c r="J4" s="1524"/>
      <c r="K4" s="1522" t="s">
        <v>69</v>
      </c>
      <c r="L4" s="1524"/>
      <c r="M4" s="1522" t="s">
        <v>70</v>
      </c>
      <c r="N4" s="1524"/>
      <c r="O4" s="1522" t="s">
        <v>71</v>
      </c>
      <c r="P4" s="1524"/>
      <c r="Q4" s="1522" t="s">
        <v>72</v>
      </c>
      <c r="R4" s="1524"/>
      <c r="S4" s="1522" t="s">
        <v>73</v>
      </c>
      <c r="T4" s="1524"/>
      <c r="U4" s="1522" t="s">
        <v>74</v>
      </c>
      <c r="V4" s="1524"/>
      <c r="W4" s="1522" t="s">
        <v>368</v>
      </c>
      <c r="X4" s="1524"/>
      <c r="Y4" s="1522" t="s">
        <v>369</v>
      </c>
      <c r="Z4" s="1523"/>
      <c r="AA4" s="1522" t="s">
        <v>60</v>
      </c>
      <c r="AB4" s="1523"/>
    </row>
    <row r="5" spans="1:29" ht="12" thickBot="1" x14ac:dyDescent="0.25">
      <c r="A5" s="715" t="s">
        <v>593</v>
      </c>
      <c r="B5" s="45"/>
      <c r="C5" s="46" t="s">
        <v>75</v>
      </c>
      <c r="D5" s="47" t="s">
        <v>76</v>
      </c>
      <c r="E5" s="46" t="s">
        <v>75</v>
      </c>
      <c r="F5" s="47" t="s">
        <v>76</v>
      </c>
      <c r="G5" s="46" t="s">
        <v>75</v>
      </c>
      <c r="H5" s="47" t="s">
        <v>76</v>
      </c>
      <c r="I5" s="46" t="s">
        <v>75</v>
      </c>
      <c r="J5" s="47" t="s">
        <v>76</v>
      </c>
      <c r="K5" s="46" t="s">
        <v>75</v>
      </c>
      <c r="L5" s="47" t="s">
        <v>76</v>
      </c>
      <c r="M5" s="46" t="s">
        <v>75</v>
      </c>
      <c r="N5" s="47" t="s">
        <v>76</v>
      </c>
      <c r="O5" s="46" t="s">
        <v>75</v>
      </c>
      <c r="P5" s="47" t="s">
        <v>76</v>
      </c>
      <c r="Q5" s="46" t="s">
        <v>75</v>
      </c>
      <c r="R5" s="47" t="s">
        <v>76</v>
      </c>
      <c r="S5" s="46" t="s">
        <v>75</v>
      </c>
      <c r="T5" s="47" t="s">
        <v>76</v>
      </c>
      <c r="U5" s="46" t="s">
        <v>75</v>
      </c>
      <c r="V5" s="47" t="s">
        <v>76</v>
      </c>
      <c r="W5" s="46" t="s">
        <v>75</v>
      </c>
      <c r="X5" s="48" t="s">
        <v>76</v>
      </c>
      <c r="Y5" s="46" t="s">
        <v>75</v>
      </c>
      <c r="Z5" s="48" t="s">
        <v>76</v>
      </c>
      <c r="AA5" s="46" t="s">
        <v>75</v>
      </c>
      <c r="AB5" s="48" t="s">
        <v>76</v>
      </c>
    </row>
    <row r="6" spans="1:29" ht="13.5" customHeight="1" thickTop="1" x14ac:dyDescent="0.2">
      <c r="A6" s="17" t="str">
        <f>'t1'!A6</f>
        <v>DIRETTORE GENERALE</v>
      </c>
      <c r="B6" s="208" t="str">
        <f>'t1'!B6</f>
        <v>0D0097</v>
      </c>
      <c r="C6" s="232"/>
      <c r="D6" s="233"/>
      <c r="E6" s="234"/>
      <c r="F6" s="233"/>
      <c r="G6" s="232"/>
      <c r="H6" s="233"/>
      <c r="I6" s="232"/>
      <c r="J6" s="233"/>
      <c r="K6" s="232"/>
      <c r="L6" s="233"/>
      <c r="M6" s="232"/>
      <c r="N6" s="233"/>
      <c r="O6" s="234"/>
      <c r="P6" s="235"/>
      <c r="Q6" s="232"/>
      <c r="R6" s="233"/>
      <c r="S6" s="232"/>
      <c r="T6" s="233"/>
      <c r="U6" s="232"/>
      <c r="V6" s="233"/>
      <c r="W6" s="236"/>
      <c r="X6" s="237"/>
      <c r="Y6" s="236"/>
      <c r="Z6" s="237"/>
      <c r="AA6" s="405">
        <f>SUM(C6,E6,G6,I6,K6,M6,O6,Q6,S6,U6,W6,Y6)</f>
        <v>0</v>
      </c>
      <c r="AB6" s="406">
        <f>SUM(D6,F6,H6,J6,L6,N6,P6,R6,T6,V6,X6,Z6)</f>
        <v>0</v>
      </c>
      <c r="AC6" s="710">
        <f>'t1'!M6</f>
        <v>0</v>
      </c>
    </row>
    <row r="7" spans="1:29" ht="14.1" customHeight="1" x14ac:dyDescent="0.2">
      <c r="A7" s="135" t="str">
        <f>'t1'!A7</f>
        <v>DIRIGENTE I FASCIA</v>
      </c>
      <c r="B7" s="201" t="str">
        <f>'t1'!B7</f>
        <v>0D0077</v>
      </c>
      <c r="C7" s="232"/>
      <c r="D7" s="233"/>
      <c r="E7" s="234"/>
      <c r="F7" s="233"/>
      <c r="G7" s="232"/>
      <c r="H7" s="233"/>
      <c r="I7" s="232"/>
      <c r="J7" s="233"/>
      <c r="K7" s="232"/>
      <c r="L7" s="233"/>
      <c r="M7" s="232"/>
      <c r="N7" s="233"/>
      <c r="O7" s="234"/>
      <c r="P7" s="235"/>
      <c r="Q7" s="232"/>
      <c r="R7" s="233"/>
      <c r="S7" s="232"/>
      <c r="T7" s="233"/>
      <c r="U7" s="232"/>
      <c r="V7" s="233"/>
      <c r="W7" s="236"/>
      <c r="X7" s="233"/>
      <c r="Y7" s="236"/>
      <c r="Z7" s="233"/>
      <c r="AA7" s="407">
        <f t="shared" ref="AA7:AA16" si="0">SUM(C7,E7,G7,I7,K7,M7,O7,Q7,S7,U7,W7,Y7)</f>
        <v>0</v>
      </c>
      <c r="AB7" s="408">
        <f t="shared" ref="AB7:AB16" si="1">SUM(D7,F7,H7,J7,L7,N7,P7,R7,T7,V7,X7,Z7)</f>
        <v>0</v>
      </c>
      <c r="AC7" s="710">
        <f>'t1'!M7</f>
        <v>0</v>
      </c>
    </row>
    <row r="8" spans="1:29" ht="14.1" customHeight="1" x14ac:dyDescent="0.2">
      <c r="A8" s="135" t="str">
        <f>'t1'!A8</f>
        <v>DIRIGENTE I FASCIA A TEMPO DETERM.</v>
      </c>
      <c r="B8" s="201" t="str">
        <f>'t1'!B8</f>
        <v>0D0078</v>
      </c>
      <c r="C8" s="232"/>
      <c r="D8" s="233"/>
      <c r="E8" s="234"/>
      <c r="F8" s="233"/>
      <c r="G8" s="232"/>
      <c r="H8" s="233"/>
      <c r="I8" s="232"/>
      <c r="J8" s="233"/>
      <c r="K8" s="232"/>
      <c r="L8" s="233"/>
      <c r="M8" s="232"/>
      <c r="N8" s="233"/>
      <c r="O8" s="234"/>
      <c r="P8" s="235"/>
      <c r="Q8" s="232"/>
      <c r="R8" s="233"/>
      <c r="S8" s="232"/>
      <c r="T8" s="233"/>
      <c r="U8" s="232"/>
      <c r="V8" s="233"/>
      <c r="W8" s="236"/>
      <c r="X8" s="233"/>
      <c r="Y8" s="236"/>
      <c r="Z8" s="233"/>
      <c r="AA8" s="407">
        <f t="shared" si="0"/>
        <v>0</v>
      </c>
      <c r="AB8" s="408">
        <f t="shared" si="1"/>
        <v>0</v>
      </c>
      <c r="AC8" s="710">
        <f>'t1'!M8</f>
        <v>0</v>
      </c>
    </row>
    <row r="9" spans="1:29" ht="14.1" customHeight="1" x14ac:dyDescent="0.2">
      <c r="A9" s="135" t="str">
        <f>'t1'!A9</f>
        <v>DIRIGENTE II FASCIA</v>
      </c>
      <c r="B9" s="201" t="str">
        <f>'t1'!B9</f>
        <v>0D0079</v>
      </c>
      <c r="C9" s="232"/>
      <c r="D9" s="233"/>
      <c r="E9" s="234"/>
      <c r="F9" s="233"/>
      <c r="G9" s="232"/>
      <c r="H9" s="233"/>
      <c r="I9" s="232"/>
      <c r="J9" s="233"/>
      <c r="K9" s="232"/>
      <c r="L9" s="233"/>
      <c r="M9" s="232"/>
      <c r="N9" s="233"/>
      <c r="O9" s="234"/>
      <c r="P9" s="235"/>
      <c r="Q9" s="232"/>
      <c r="R9" s="233"/>
      <c r="S9" s="232"/>
      <c r="T9" s="233"/>
      <c r="U9" s="232"/>
      <c r="V9" s="233"/>
      <c r="W9" s="236"/>
      <c r="X9" s="233"/>
      <c r="Y9" s="236"/>
      <c r="Z9" s="233"/>
      <c r="AA9" s="407">
        <f t="shared" si="0"/>
        <v>0</v>
      </c>
      <c r="AB9" s="408">
        <f t="shared" si="1"/>
        <v>0</v>
      </c>
      <c r="AC9" s="710">
        <f>'t1'!M9</f>
        <v>0</v>
      </c>
    </row>
    <row r="10" spans="1:29" ht="14.1" customHeight="1" x14ac:dyDescent="0.2">
      <c r="A10" s="135" t="str">
        <f>'t1'!A10</f>
        <v>DIRIGENTE II FASCIA A TEMPO DETERM.</v>
      </c>
      <c r="B10" s="201" t="str">
        <f>'t1'!B10</f>
        <v>0D0080</v>
      </c>
      <c r="C10" s="232"/>
      <c r="D10" s="233"/>
      <c r="E10" s="234"/>
      <c r="F10" s="233"/>
      <c r="G10" s="232"/>
      <c r="H10" s="233"/>
      <c r="I10" s="232"/>
      <c r="J10" s="233"/>
      <c r="K10" s="232"/>
      <c r="L10" s="233"/>
      <c r="M10" s="232"/>
      <c r="N10" s="233"/>
      <c r="O10" s="234"/>
      <c r="P10" s="235"/>
      <c r="Q10" s="232"/>
      <c r="R10" s="233"/>
      <c r="S10" s="232"/>
      <c r="T10" s="233"/>
      <c r="U10" s="232"/>
      <c r="V10" s="233"/>
      <c r="W10" s="236"/>
      <c r="X10" s="233"/>
      <c r="Y10" s="236"/>
      <c r="Z10" s="233"/>
      <c r="AA10" s="407">
        <f t="shared" si="0"/>
        <v>0</v>
      </c>
      <c r="AB10" s="408">
        <f t="shared" si="1"/>
        <v>0</v>
      </c>
      <c r="AC10" s="710">
        <f>'t1'!M10</f>
        <v>0</v>
      </c>
    </row>
    <row r="11" spans="1:29" ht="14.1" customHeight="1" x14ac:dyDescent="0.2">
      <c r="A11" s="135" t="str">
        <f>'t1'!A11</f>
        <v>MEDICO II FASCIA T.P.</v>
      </c>
      <c r="B11" s="201" t="str">
        <f>'t1'!B11</f>
        <v>0D0584</v>
      </c>
      <c r="C11" s="232"/>
      <c r="D11" s="233"/>
      <c r="E11" s="234"/>
      <c r="F11" s="233"/>
      <c r="G11" s="232"/>
      <c r="H11" s="233"/>
      <c r="I11" s="232"/>
      <c r="J11" s="233"/>
      <c r="K11" s="232"/>
      <c r="L11" s="233"/>
      <c r="M11" s="232"/>
      <c r="N11" s="233"/>
      <c r="O11" s="234"/>
      <c r="P11" s="235"/>
      <c r="Q11" s="232"/>
      <c r="R11" s="233"/>
      <c r="S11" s="232"/>
      <c r="T11" s="233"/>
      <c r="U11" s="232"/>
      <c r="V11" s="233"/>
      <c r="W11" s="236"/>
      <c r="X11" s="233"/>
      <c r="Y11" s="236"/>
      <c r="Z11" s="233"/>
      <c r="AA11" s="407">
        <f t="shared" si="0"/>
        <v>0</v>
      </c>
      <c r="AB11" s="408">
        <f t="shared" si="1"/>
        <v>0</v>
      </c>
      <c r="AC11" s="710">
        <f>'t1'!M11</f>
        <v>0</v>
      </c>
    </row>
    <row r="12" spans="1:29" ht="14.1" customHeight="1" x14ac:dyDescent="0.2">
      <c r="A12" s="135" t="str">
        <f>'t1'!A12</f>
        <v>MEDICO I FASCIA T.P.</v>
      </c>
      <c r="B12" s="201" t="str">
        <f>'t1'!B12</f>
        <v>0D0585</v>
      </c>
      <c r="C12" s="232"/>
      <c r="D12" s="233"/>
      <c r="E12" s="234"/>
      <c r="F12" s="233"/>
      <c r="G12" s="232"/>
      <c r="H12" s="233"/>
      <c r="I12" s="232"/>
      <c r="J12" s="233"/>
      <c r="K12" s="232"/>
      <c r="L12" s="233"/>
      <c r="M12" s="232"/>
      <c r="N12" s="233"/>
      <c r="O12" s="234"/>
      <c r="P12" s="235"/>
      <c r="Q12" s="232"/>
      <c r="R12" s="233"/>
      <c r="S12" s="232"/>
      <c r="T12" s="233"/>
      <c r="U12" s="232"/>
      <c r="V12" s="233"/>
      <c r="W12" s="236"/>
      <c r="X12" s="233"/>
      <c r="Y12" s="236"/>
      <c r="Z12" s="233"/>
      <c r="AA12" s="407">
        <f t="shared" si="0"/>
        <v>0</v>
      </c>
      <c r="AB12" s="408">
        <f t="shared" si="1"/>
        <v>0</v>
      </c>
      <c r="AC12" s="710">
        <f>'t1'!M12</f>
        <v>0</v>
      </c>
    </row>
    <row r="13" spans="1:29" ht="14.1" customHeight="1" x14ac:dyDescent="0.2">
      <c r="A13" s="135" t="str">
        <f>'t1'!A13</f>
        <v>MEDICO II FASCIA T.D.</v>
      </c>
      <c r="B13" s="201" t="str">
        <f>'t1'!B13</f>
        <v>0D0586</v>
      </c>
      <c r="C13" s="232"/>
      <c r="D13" s="233"/>
      <c r="E13" s="234"/>
      <c r="F13" s="233"/>
      <c r="G13" s="232"/>
      <c r="H13" s="233"/>
      <c r="I13" s="232"/>
      <c r="J13" s="233"/>
      <c r="K13" s="232"/>
      <c r="L13" s="233"/>
      <c r="M13" s="232"/>
      <c r="N13" s="233"/>
      <c r="O13" s="234"/>
      <c r="P13" s="235"/>
      <c r="Q13" s="232"/>
      <c r="R13" s="233"/>
      <c r="S13" s="232"/>
      <c r="T13" s="233"/>
      <c r="U13" s="232"/>
      <c r="V13" s="233"/>
      <c r="W13" s="236"/>
      <c r="X13" s="233"/>
      <c r="Y13" s="236"/>
      <c r="Z13" s="233"/>
      <c r="AA13" s="407">
        <f t="shared" si="0"/>
        <v>0</v>
      </c>
      <c r="AB13" s="408">
        <f t="shared" si="1"/>
        <v>0</v>
      </c>
      <c r="AC13" s="710">
        <f>'t1'!M13</f>
        <v>0</v>
      </c>
    </row>
    <row r="14" spans="1:29" ht="14.1" customHeight="1" x14ac:dyDescent="0.2">
      <c r="A14" s="135" t="str">
        <f>'t1'!A14</f>
        <v>MEDICO I FASCIA T.D.</v>
      </c>
      <c r="B14" s="201" t="str">
        <f>'t1'!B14</f>
        <v>0D0496</v>
      </c>
      <c r="C14" s="232"/>
      <c r="D14" s="233"/>
      <c r="E14" s="234"/>
      <c r="F14" s="233"/>
      <c r="G14" s="232"/>
      <c r="H14" s="233"/>
      <c r="I14" s="232"/>
      <c r="J14" s="233"/>
      <c r="K14" s="232"/>
      <c r="L14" s="233"/>
      <c r="M14" s="232"/>
      <c r="N14" s="233"/>
      <c r="O14" s="234"/>
      <c r="P14" s="235"/>
      <c r="Q14" s="232"/>
      <c r="R14" s="233"/>
      <c r="S14" s="232"/>
      <c r="T14" s="233"/>
      <c r="U14" s="232"/>
      <c r="V14" s="233"/>
      <c r="W14" s="236"/>
      <c r="X14" s="233"/>
      <c r="Y14" s="236"/>
      <c r="Z14" s="233"/>
      <c r="AA14" s="407">
        <f t="shared" si="0"/>
        <v>0</v>
      </c>
      <c r="AB14" s="408">
        <f t="shared" si="1"/>
        <v>0</v>
      </c>
      <c r="AC14" s="710">
        <f>'t1'!M14</f>
        <v>0</v>
      </c>
    </row>
    <row r="15" spans="1:29" ht="14.1" customHeight="1" x14ac:dyDescent="0.2">
      <c r="A15" s="135" t="str">
        <f>'t1'!A15</f>
        <v>PROFESSIONISTI II LIVELLO</v>
      </c>
      <c r="B15" s="201" t="str">
        <f>'t1'!B15</f>
        <v>0D0PR2</v>
      </c>
      <c r="C15" s="232"/>
      <c r="D15" s="233"/>
      <c r="E15" s="234"/>
      <c r="F15" s="233"/>
      <c r="G15" s="232"/>
      <c r="H15" s="233"/>
      <c r="I15" s="232"/>
      <c r="J15" s="233"/>
      <c r="K15" s="232"/>
      <c r="L15" s="233"/>
      <c r="M15" s="232"/>
      <c r="N15" s="233"/>
      <c r="O15" s="234"/>
      <c r="P15" s="235"/>
      <c r="Q15" s="232"/>
      <c r="R15" s="233"/>
      <c r="S15" s="232"/>
      <c r="T15" s="233"/>
      <c r="U15" s="232"/>
      <c r="V15" s="233"/>
      <c r="W15" s="236"/>
      <c r="X15" s="233"/>
      <c r="Y15" s="236"/>
      <c r="Z15" s="233"/>
      <c r="AA15" s="407">
        <f t="shared" si="0"/>
        <v>0</v>
      </c>
      <c r="AB15" s="408">
        <f t="shared" si="1"/>
        <v>0</v>
      </c>
      <c r="AC15" s="710">
        <f>'t1'!M15</f>
        <v>0</v>
      </c>
    </row>
    <row r="16" spans="1:29" ht="14.1" customHeight="1" x14ac:dyDescent="0.2">
      <c r="A16" s="135" t="str">
        <f>'t1'!A16</f>
        <v>PROFESSIONISTI I LIVELLO</v>
      </c>
      <c r="B16" s="201" t="str">
        <f>'t1'!B16</f>
        <v>0D0PR1</v>
      </c>
      <c r="C16" s="232"/>
      <c r="D16" s="233"/>
      <c r="E16" s="234"/>
      <c r="F16" s="233"/>
      <c r="G16" s="232"/>
      <c r="H16" s="233"/>
      <c r="I16" s="232"/>
      <c r="J16" s="233"/>
      <c r="K16" s="232"/>
      <c r="L16" s="233"/>
      <c r="M16" s="232"/>
      <c r="N16" s="233"/>
      <c r="O16" s="234"/>
      <c r="P16" s="235"/>
      <c r="Q16" s="232"/>
      <c r="R16" s="233"/>
      <c r="S16" s="232"/>
      <c r="T16" s="233"/>
      <c r="U16" s="232"/>
      <c r="V16" s="233"/>
      <c r="W16" s="236"/>
      <c r="X16" s="233"/>
      <c r="Y16" s="236"/>
      <c r="Z16" s="233"/>
      <c r="AA16" s="407">
        <f t="shared" si="0"/>
        <v>0</v>
      </c>
      <c r="AB16" s="408">
        <f t="shared" si="1"/>
        <v>0</v>
      </c>
      <c r="AC16" s="710">
        <f>'t1'!M16</f>
        <v>0</v>
      </c>
    </row>
    <row r="17" spans="1:29" ht="14.1" customHeight="1" x14ac:dyDescent="0.2">
      <c r="A17" s="135" t="str">
        <f>'t1'!A17</f>
        <v>ELEVATE PROFESSIONALITA'</v>
      </c>
      <c r="B17" s="201" t="str">
        <f>'t1'!B17</f>
        <v>0EP981</v>
      </c>
      <c r="C17" s="232"/>
      <c r="D17" s="233"/>
      <c r="E17" s="234"/>
      <c r="F17" s="233"/>
      <c r="G17" s="232"/>
      <c r="H17" s="233"/>
      <c r="I17" s="232"/>
      <c r="J17" s="233"/>
      <c r="K17" s="232"/>
      <c r="L17" s="233"/>
      <c r="M17" s="232"/>
      <c r="N17" s="233"/>
      <c r="O17" s="234"/>
      <c r="P17" s="235"/>
      <c r="Q17" s="232"/>
      <c r="R17" s="233"/>
      <c r="S17" s="232"/>
      <c r="T17" s="233"/>
      <c r="U17" s="232"/>
      <c r="V17" s="233"/>
      <c r="W17" s="236"/>
      <c r="X17" s="233"/>
      <c r="Y17" s="236"/>
      <c r="Z17" s="233"/>
      <c r="AA17" s="407">
        <f t="shared" ref="AA17:AB21" si="2">SUM(C17,E17,G17,I17,K17,M17,O17,Q17,S17,U17,W17,Y17)</f>
        <v>0</v>
      </c>
      <c r="AB17" s="408">
        <f t="shared" si="2"/>
        <v>0</v>
      </c>
      <c r="AC17" s="710">
        <f>'t1'!M17</f>
        <v>0</v>
      </c>
    </row>
    <row r="18" spans="1:29" ht="14.1" customHeight="1" x14ac:dyDescent="0.2">
      <c r="A18" s="135" t="str">
        <f>'t1'!A18</f>
        <v>FUNZIONARI</v>
      </c>
      <c r="B18" s="201" t="str">
        <f>'t1'!B18</f>
        <v>0FZ000</v>
      </c>
      <c r="C18" s="232"/>
      <c r="D18" s="233"/>
      <c r="E18" s="234"/>
      <c r="F18" s="233"/>
      <c r="G18" s="232"/>
      <c r="H18" s="233"/>
      <c r="I18" s="232"/>
      <c r="J18" s="233"/>
      <c r="K18" s="232"/>
      <c r="L18" s="233"/>
      <c r="M18" s="232"/>
      <c r="N18" s="233"/>
      <c r="O18" s="234"/>
      <c r="P18" s="235"/>
      <c r="Q18" s="232"/>
      <c r="R18" s="233"/>
      <c r="S18" s="232"/>
      <c r="T18" s="233"/>
      <c r="U18" s="232"/>
      <c r="V18" s="233"/>
      <c r="W18" s="236"/>
      <c r="X18" s="233"/>
      <c r="Y18" s="236"/>
      <c r="Z18" s="233"/>
      <c r="AA18" s="407">
        <f t="shared" si="2"/>
        <v>0</v>
      </c>
      <c r="AB18" s="408">
        <f t="shared" si="2"/>
        <v>0</v>
      </c>
      <c r="AC18" s="710">
        <f>'t1'!M18</f>
        <v>0</v>
      </c>
    </row>
    <row r="19" spans="1:29" ht="14.1" customHeight="1" x14ac:dyDescent="0.2">
      <c r="A19" s="135" t="str">
        <f>'t1'!A19</f>
        <v>ASSISTENTI</v>
      </c>
      <c r="B19" s="201" t="str">
        <f>'t1'!B19</f>
        <v>0AS000</v>
      </c>
      <c r="C19" s="232"/>
      <c r="D19" s="233"/>
      <c r="E19" s="234"/>
      <c r="F19" s="233"/>
      <c r="G19" s="232"/>
      <c r="H19" s="233"/>
      <c r="I19" s="232"/>
      <c r="J19" s="233"/>
      <c r="K19" s="232"/>
      <c r="L19" s="233"/>
      <c r="M19" s="232"/>
      <c r="N19" s="233"/>
      <c r="O19" s="234"/>
      <c r="P19" s="235"/>
      <c r="Q19" s="232"/>
      <c r="R19" s="233"/>
      <c r="S19" s="232"/>
      <c r="T19" s="233"/>
      <c r="U19" s="232"/>
      <c r="V19" s="233">
        <v>1</v>
      </c>
      <c r="W19" s="236"/>
      <c r="X19" s="233"/>
      <c r="Y19" s="236"/>
      <c r="Z19" s="233"/>
      <c r="AA19" s="407">
        <f t="shared" si="2"/>
        <v>0</v>
      </c>
      <c r="AB19" s="408">
        <f t="shared" si="2"/>
        <v>1</v>
      </c>
      <c r="AC19" s="710">
        <f>'t1'!M19</f>
        <v>1</v>
      </c>
    </row>
    <row r="20" spans="1:29" ht="14.1" customHeight="1" x14ac:dyDescent="0.2">
      <c r="A20" s="135" t="str">
        <f>'t1'!A20</f>
        <v>OPERATORI</v>
      </c>
      <c r="B20" s="201" t="str">
        <f>'t1'!B20</f>
        <v>0OP000</v>
      </c>
      <c r="C20" s="232"/>
      <c r="D20" s="233"/>
      <c r="E20" s="234"/>
      <c r="F20" s="233"/>
      <c r="G20" s="232"/>
      <c r="H20" s="233"/>
      <c r="I20" s="232"/>
      <c r="J20" s="233"/>
      <c r="K20" s="232"/>
      <c r="L20" s="233"/>
      <c r="M20" s="232"/>
      <c r="N20" s="233"/>
      <c r="O20" s="234"/>
      <c r="P20" s="235"/>
      <c r="Q20" s="232"/>
      <c r="R20" s="233"/>
      <c r="S20" s="232"/>
      <c r="T20" s="233"/>
      <c r="U20" s="232"/>
      <c r="V20" s="233"/>
      <c r="W20" s="236"/>
      <c r="X20" s="233"/>
      <c r="Y20" s="236"/>
      <c r="Z20" s="233"/>
      <c r="AA20" s="407">
        <f t="shared" si="2"/>
        <v>0</v>
      </c>
      <c r="AB20" s="408">
        <f t="shared" si="2"/>
        <v>0</v>
      </c>
      <c r="AC20" s="710">
        <f>'t1'!M20</f>
        <v>0</v>
      </c>
    </row>
    <row r="21" spans="1:29" ht="14.1" customHeight="1" thickBot="1" x14ac:dyDescent="0.25">
      <c r="A21" s="135" t="str">
        <f>'t1'!A21</f>
        <v>CONTRATTISTI</v>
      </c>
      <c r="B21" s="201" t="str">
        <f>'t1'!B21</f>
        <v>000061</v>
      </c>
      <c r="C21" s="232"/>
      <c r="D21" s="233"/>
      <c r="E21" s="234"/>
      <c r="F21" s="233"/>
      <c r="G21" s="232"/>
      <c r="H21" s="233"/>
      <c r="I21" s="232"/>
      <c r="J21" s="233"/>
      <c r="K21" s="232"/>
      <c r="L21" s="233"/>
      <c r="M21" s="232"/>
      <c r="N21" s="233"/>
      <c r="O21" s="234"/>
      <c r="P21" s="235"/>
      <c r="Q21" s="232"/>
      <c r="R21" s="233"/>
      <c r="S21" s="232"/>
      <c r="T21" s="233"/>
      <c r="U21" s="232"/>
      <c r="V21" s="233"/>
      <c r="W21" s="236"/>
      <c r="X21" s="233"/>
      <c r="Y21" s="236"/>
      <c r="Z21" s="233"/>
      <c r="AA21" s="407">
        <f t="shared" si="2"/>
        <v>0</v>
      </c>
      <c r="AB21" s="408">
        <f t="shared" si="2"/>
        <v>0</v>
      </c>
      <c r="AC21" s="710">
        <f>'t1'!M21</f>
        <v>0</v>
      </c>
    </row>
    <row r="22" spans="1:29" ht="16.5" customHeight="1" thickTop="1" thickBot="1" x14ac:dyDescent="0.25">
      <c r="A22" s="49" t="s">
        <v>60</v>
      </c>
      <c r="B22" s="50"/>
      <c r="C22" s="409">
        <f t="shared" ref="C22:AB22" si="3">SUM(C6:C21)</f>
        <v>0</v>
      </c>
      <c r="D22" s="411">
        <f t="shared" si="3"/>
        <v>0</v>
      </c>
      <c r="E22" s="409">
        <f t="shared" si="3"/>
        <v>0</v>
      </c>
      <c r="F22" s="411">
        <f t="shared" si="3"/>
        <v>0</v>
      </c>
      <c r="G22" s="409">
        <f t="shared" si="3"/>
        <v>0</v>
      </c>
      <c r="H22" s="411">
        <f t="shared" si="3"/>
        <v>0</v>
      </c>
      <c r="I22" s="409">
        <f t="shared" si="3"/>
        <v>0</v>
      </c>
      <c r="J22" s="411">
        <f t="shared" si="3"/>
        <v>0</v>
      </c>
      <c r="K22" s="409">
        <f t="shared" si="3"/>
        <v>0</v>
      </c>
      <c r="L22" s="411">
        <f t="shared" si="3"/>
        <v>0</v>
      </c>
      <c r="M22" s="409">
        <f t="shared" si="3"/>
        <v>0</v>
      </c>
      <c r="N22" s="411">
        <f t="shared" si="3"/>
        <v>0</v>
      </c>
      <c r="O22" s="409">
        <f t="shared" si="3"/>
        <v>0</v>
      </c>
      <c r="P22" s="411">
        <f t="shared" si="3"/>
        <v>0</v>
      </c>
      <c r="Q22" s="409">
        <f t="shared" si="3"/>
        <v>0</v>
      </c>
      <c r="R22" s="411">
        <f t="shared" si="3"/>
        <v>0</v>
      </c>
      <c r="S22" s="409">
        <f t="shared" si="3"/>
        <v>0</v>
      </c>
      <c r="T22" s="411">
        <f t="shared" si="3"/>
        <v>0</v>
      </c>
      <c r="U22" s="409">
        <f t="shared" si="3"/>
        <v>0</v>
      </c>
      <c r="V22" s="411">
        <f t="shared" si="3"/>
        <v>1</v>
      </c>
      <c r="W22" s="409">
        <f t="shared" si="3"/>
        <v>0</v>
      </c>
      <c r="X22" s="411">
        <f t="shared" si="3"/>
        <v>0</v>
      </c>
      <c r="Y22" s="409">
        <f t="shared" si="3"/>
        <v>0</v>
      </c>
      <c r="Z22" s="411">
        <f t="shared" si="3"/>
        <v>0</v>
      </c>
      <c r="AA22" s="409">
        <f t="shared" si="3"/>
        <v>0</v>
      </c>
      <c r="AB22" s="410">
        <f t="shared" si="3"/>
        <v>1</v>
      </c>
    </row>
    <row r="23" spans="1:29" ht="8.25" customHeight="1" x14ac:dyDescent="0.2">
      <c r="A23" s="137"/>
      <c r="C23" s="138"/>
      <c r="D23" s="138"/>
      <c r="E23" s="138"/>
      <c r="F23" s="138"/>
      <c r="G23" s="138"/>
      <c r="H23" s="138"/>
      <c r="I23" s="138"/>
      <c r="J23" s="138"/>
      <c r="K23" s="138"/>
      <c r="L23" s="138"/>
      <c r="M23" s="138"/>
      <c r="N23" s="138"/>
      <c r="O23" s="138"/>
      <c r="P23" s="138"/>
      <c r="Q23" s="138"/>
      <c r="R23" s="138"/>
      <c r="S23" s="138"/>
      <c r="T23" s="138"/>
      <c r="U23" s="138"/>
      <c r="V23" s="138"/>
      <c r="W23" s="138"/>
      <c r="X23" s="138"/>
      <c r="Y23" s="138"/>
      <c r="Z23" s="138"/>
      <c r="AA23" s="138"/>
      <c r="AB23" s="138"/>
    </row>
    <row r="24" spans="1:29" x14ac:dyDescent="0.2">
      <c r="A24" s="18" t="str">
        <f>'t1'!$A$23</f>
        <v>(a) personale a tempo indeterminato al quale viene applicato un contratto di lavoro di tipo privatistico (es.:tipografico,chimico,edile,metalmeccanico,portierato, ecc.)</v>
      </c>
      <c r="B24" s="2"/>
      <c r="C24" s="3"/>
      <c r="D24" s="3"/>
      <c r="E24" s="3"/>
      <c r="F24" s="3"/>
      <c r="G24" s="3"/>
      <c r="H24" s="3"/>
      <c r="I24" s="3"/>
      <c r="J24" s="3"/>
      <c r="K24" s="3"/>
      <c r="L24" s="3"/>
      <c r="M24" s="69"/>
    </row>
    <row r="25" spans="1:29" s="3" customFormat="1" x14ac:dyDescent="0.2">
      <c r="A25" s="18"/>
      <c r="B25" s="2"/>
    </row>
  </sheetData>
  <sheetProtection algorithmName="SHA-512" hashValue="RLfghf9PUtt6I70MkJE86wNtnUSgyGwrY58BoxE3/zkEJ2M5NfrB0j2iJvRpz//ZNhvhxf+XvhRLi2j3Be8Lqw==" saltValue="hRdIbFWq55dgI5mEcAPj9A==" spinCount="100000" sheet="1" formatColumns="0" selectLockedCells="1"/>
  <mergeCells count="14">
    <mergeCell ref="AA4:AB4"/>
    <mergeCell ref="U4:V4"/>
    <mergeCell ref="Y4:Z4"/>
    <mergeCell ref="W4:X4"/>
    <mergeCell ref="A1:Y1"/>
    <mergeCell ref="S2:AB2"/>
    <mergeCell ref="M4:N4"/>
    <mergeCell ref="C4:D4"/>
    <mergeCell ref="G4:H4"/>
    <mergeCell ref="I4:J4"/>
    <mergeCell ref="K4:L4"/>
    <mergeCell ref="O4:P4"/>
    <mergeCell ref="Q4:R4"/>
    <mergeCell ref="S4:T4"/>
  </mergeCells>
  <phoneticPr fontId="30" type="noConversion"/>
  <conditionalFormatting sqref="A6:AB21">
    <cfRule type="expression" dxfId="40" priority="1" stopIfTrue="1">
      <formula>$AC6&gt;0</formula>
    </cfRule>
  </conditionalFormatting>
  <printOptions horizontalCentered="1" verticalCentered="1"/>
  <pageMargins left="0" right="0" top="0.19685039370078741" bottom="0.15748031496062992" header="0.23622047244094491" footer="0.19685039370078741"/>
  <pageSetup paperSize="9" scale="70"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oglio16"/>
  <dimension ref="A1:T24"/>
  <sheetViews>
    <sheetView showGridLines="0" workbookViewId="0">
      <pane xSplit="2" ySplit="5" topLeftCell="C6" activePane="bottomRight" state="frozen"/>
      <selection activeCell="C4" sqref="C4:C6"/>
      <selection pane="topRight" activeCell="C4" sqref="C4:C6"/>
      <selection pane="bottomLeft" activeCell="C4" sqref="C4:C6"/>
      <selection pane="bottomRight" activeCell="G19" sqref="G19"/>
    </sheetView>
  </sheetViews>
  <sheetFormatPr defaultColWidth="10.6640625" defaultRowHeight="12.75" x14ac:dyDescent="0.2"/>
  <cols>
    <col min="1" max="1" width="38.33203125" style="26" customWidth="1"/>
    <col min="2" max="2" width="10.6640625" style="26" customWidth="1"/>
    <col min="3" max="16" width="13.6640625" style="26" customWidth="1"/>
    <col min="17" max="17" width="0" style="26" hidden="1" customWidth="1"/>
    <col min="18" max="16384" width="10.6640625" style="26"/>
  </cols>
  <sheetData>
    <row r="1" spans="1:17" s="3" customFormat="1" ht="43.5" customHeight="1" x14ac:dyDescent="0.2">
      <c r="A1" s="1447" t="str">
        <f>'t1'!A1</f>
        <v>ENTI PUBBLICI NON ECONOMICI - anno 2024</v>
      </c>
      <c r="B1" s="1447"/>
      <c r="C1" s="1447"/>
      <c r="D1" s="1447"/>
      <c r="E1" s="1447"/>
      <c r="F1" s="1447"/>
      <c r="G1" s="1447"/>
      <c r="H1" s="1447"/>
      <c r="I1" s="1447"/>
      <c r="J1" s="1447"/>
      <c r="K1" s="1447"/>
      <c r="L1" s="1447"/>
      <c r="M1" s="1447"/>
      <c r="N1" s="1447"/>
      <c r="P1" s="285"/>
      <c r="Q1"/>
    </row>
    <row r="2" spans="1:17" s="3" customFormat="1" ht="5.25" customHeight="1" x14ac:dyDescent="0.2">
      <c r="A2" s="318"/>
      <c r="B2" s="318"/>
      <c r="C2" s="318"/>
      <c r="D2" s="318"/>
      <c r="E2" s="318"/>
      <c r="F2" s="318"/>
      <c r="G2" s="318"/>
      <c r="H2" s="318"/>
      <c r="I2" s="318"/>
      <c r="J2" s="318"/>
      <c r="K2" s="318"/>
      <c r="L2" s="318"/>
      <c r="M2" s="318"/>
      <c r="N2" s="318"/>
      <c r="P2" s="285"/>
      <c r="Q2"/>
    </row>
    <row r="3" spans="1:17" ht="30" customHeight="1" thickBot="1" x14ac:dyDescent="0.25">
      <c r="M3" s="1489"/>
      <c r="N3" s="1489"/>
      <c r="O3" s="1489"/>
      <c r="P3" s="1489"/>
    </row>
    <row r="4" spans="1:17" ht="25.15" customHeight="1" x14ac:dyDescent="0.2">
      <c r="A4" s="254" t="s">
        <v>130</v>
      </c>
      <c r="B4" s="238" t="s">
        <v>57</v>
      </c>
      <c r="C4" s="27" t="s">
        <v>64</v>
      </c>
      <c r="D4" s="28"/>
      <c r="E4" s="27" t="s">
        <v>65</v>
      </c>
      <c r="F4" s="28"/>
      <c r="G4" s="1525" t="s">
        <v>52</v>
      </c>
      <c r="H4" s="1526"/>
      <c r="I4" s="1525" t="s">
        <v>66</v>
      </c>
      <c r="J4" s="1526"/>
      <c r="K4" s="1525" t="s">
        <v>53</v>
      </c>
      <c r="L4" s="1526"/>
      <c r="M4" s="1525" t="s">
        <v>54</v>
      </c>
      <c r="N4" s="1526"/>
      <c r="O4" s="27" t="s">
        <v>60</v>
      </c>
      <c r="P4" s="28"/>
    </row>
    <row r="5" spans="1:17" ht="14.25" customHeight="1" thickBot="1" x14ac:dyDescent="0.25">
      <c r="A5" s="715" t="s">
        <v>593</v>
      </c>
      <c r="B5" s="29"/>
      <c r="C5" s="30" t="s">
        <v>58</v>
      </c>
      <c r="D5" s="31" t="s">
        <v>59</v>
      </c>
      <c r="E5" s="30" t="s">
        <v>58</v>
      </c>
      <c r="F5" s="31" t="s">
        <v>59</v>
      </c>
      <c r="G5" s="30" t="s">
        <v>58</v>
      </c>
      <c r="H5" s="32" t="s">
        <v>59</v>
      </c>
      <c r="I5" s="30" t="s">
        <v>58</v>
      </c>
      <c r="J5" s="32" t="s">
        <v>59</v>
      </c>
      <c r="K5" s="30" t="s">
        <v>58</v>
      </c>
      <c r="L5" s="33" t="s">
        <v>59</v>
      </c>
      <c r="M5" s="30" t="s">
        <v>58</v>
      </c>
      <c r="N5" s="33" t="s">
        <v>59</v>
      </c>
      <c r="O5" s="464" t="s">
        <v>58</v>
      </c>
      <c r="P5" s="465" t="s">
        <v>59</v>
      </c>
    </row>
    <row r="6" spans="1:17" ht="14.1" customHeight="1" thickTop="1" x14ac:dyDescent="0.2">
      <c r="A6" s="17" t="str">
        <f>'t1'!A6</f>
        <v>DIRETTORE GENERALE</v>
      </c>
      <c r="B6" s="208" t="str">
        <f>'t1'!B6</f>
        <v>0D0097</v>
      </c>
      <c r="C6" s="300"/>
      <c r="D6" s="301"/>
      <c r="E6" s="300"/>
      <c r="F6" s="301"/>
      <c r="G6" s="300"/>
      <c r="H6" s="302"/>
      <c r="I6" s="459"/>
      <c r="J6" s="302"/>
      <c r="K6" s="459"/>
      <c r="L6" s="302"/>
      <c r="M6" s="303"/>
      <c r="N6" s="304"/>
      <c r="O6" s="463">
        <f>SUM(C6,E6,G6,I6,K6,M6)</f>
        <v>0</v>
      </c>
      <c r="P6" s="466">
        <f>SUM(D6,F6,H6,J6,L6,N6)</f>
        <v>0</v>
      </c>
      <c r="Q6" s="711">
        <f>'t1'!M6</f>
        <v>0</v>
      </c>
    </row>
    <row r="7" spans="1:17" ht="14.1" customHeight="1" x14ac:dyDescent="0.2">
      <c r="A7" s="135" t="str">
        <f>'t1'!A7</f>
        <v>DIRIGENTE I FASCIA</v>
      </c>
      <c r="B7" s="201" t="str">
        <f>'t1'!B7</f>
        <v>0D0077</v>
      </c>
      <c r="C7" s="305"/>
      <c r="D7" s="306"/>
      <c r="E7" s="305"/>
      <c r="F7" s="306"/>
      <c r="G7" s="305"/>
      <c r="H7" s="307"/>
      <c r="I7" s="460"/>
      <c r="J7" s="307"/>
      <c r="K7" s="460"/>
      <c r="L7" s="307"/>
      <c r="M7" s="308"/>
      <c r="N7" s="309"/>
      <c r="O7" s="412">
        <f t="shared" ref="O7:O16" si="0">SUM(C7,E7,G7,I7,K7,M7)</f>
        <v>0</v>
      </c>
      <c r="P7" s="413">
        <f t="shared" ref="P7:P16" si="1">SUM(D7,F7,H7,J7,L7,N7)</f>
        <v>0</v>
      </c>
      <c r="Q7" s="711">
        <f>'t1'!M7</f>
        <v>0</v>
      </c>
    </row>
    <row r="8" spans="1:17" ht="14.1" customHeight="1" x14ac:dyDescent="0.2">
      <c r="A8" s="135" t="str">
        <f>'t1'!A8</f>
        <v>DIRIGENTE I FASCIA A TEMPO DETERM.</v>
      </c>
      <c r="B8" s="201" t="str">
        <f>'t1'!B8</f>
        <v>0D0078</v>
      </c>
      <c r="C8" s="305"/>
      <c r="D8" s="306"/>
      <c r="E8" s="305"/>
      <c r="F8" s="306"/>
      <c r="G8" s="305"/>
      <c r="H8" s="307"/>
      <c r="I8" s="460"/>
      <c r="J8" s="307"/>
      <c r="K8" s="460"/>
      <c r="L8" s="307"/>
      <c r="M8" s="308"/>
      <c r="N8" s="309"/>
      <c r="O8" s="412">
        <f t="shared" si="0"/>
        <v>0</v>
      </c>
      <c r="P8" s="413">
        <f t="shared" si="1"/>
        <v>0</v>
      </c>
      <c r="Q8" s="711">
        <f>'t1'!M8</f>
        <v>0</v>
      </c>
    </row>
    <row r="9" spans="1:17" ht="14.1" customHeight="1" x14ac:dyDescent="0.2">
      <c r="A9" s="135" t="str">
        <f>'t1'!A9</f>
        <v>DIRIGENTE II FASCIA</v>
      </c>
      <c r="B9" s="201" t="str">
        <f>'t1'!B9</f>
        <v>0D0079</v>
      </c>
      <c r="C9" s="305"/>
      <c r="D9" s="306"/>
      <c r="E9" s="305"/>
      <c r="F9" s="306"/>
      <c r="G9" s="305"/>
      <c r="H9" s="307"/>
      <c r="I9" s="460"/>
      <c r="J9" s="307"/>
      <c r="K9" s="460"/>
      <c r="L9" s="307"/>
      <c r="M9" s="308"/>
      <c r="N9" s="309"/>
      <c r="O9" s="412">
        <f t="shared" si="0"/>
        <v>0</v>
      </c>
      <c r="P9" s="413">
        <f t="shared" si="1"/>
        <v>0</v>
      </c>
      <c r="Q9" s="711">
        <f>'t1'!M9</f>
        <v>0</v>
      </c>
    </row>
    <row r="10" spans="1:17" ht="14.1" customHeight="1" x14ac:dyDescent="0.2">
      <c r="A10" s="135" t="str">
        <f>'t1'!A10</f>
        <v>DIRIGENTE II FASCIA A TEMPO DETERM.</v>
      </c>
      <c r="B10" s="201" t="str">
        <f>'t1'!B10</f>
        <v>0D0080</v>
      </c>
      <c r="C10" s="305"/>
      <c r="D10" s="306"/>
      <c r="E10" s="305"/>
      <c r="F10" s="306"/>
      <c r="G10" s="305"/>
      <c r="H10" s="307"/>
      <c r="I10" s="460"/>
      <c r="J10" s="307"/>
      <c r="K10" s="460"/>
      <c r="L10" s="307"/>
      <c r="M10" s="308"/>
      <c r="N10" s="309"/>
      <c r="O10" s="412">
        <f t="shared" si="0"/>
        <v>0</v>
      </c>
      <c r="P10" s="413">
        <f t="shared" si="1"/>
        <v>0</v>
      </c>
      <c r="Q10" s="711">
        <f>'t1'!M10</f>
        <v>0</v>
      </c>
    </row>
    <row r="11" spans="1:17" ht="14.1" customHeight="1" x14ac:dyDescent="0.2">
      <c r="A11" s="135" t="str">
        <f>'t1'!A11</f>
        <v>MEDICO II FASCIA T.P.</v>
      </c>
      <c r="B11" s="201" t="str">
        <f>'t1'!B11</f>
        <v>0D0584</v>
      </c>
      <c r="C11" s="305"/>
      <c r="D11" s="306"/>
      <c r="E11" s="305"/>
      <c r="F11" s="306"/>
      <c r="G11" s="305"/>
      <c r="H11" s="307"/>
      <c r="I11" s="460"/>
      <c r="J11" s="307"/>
      <c r="K11" s="460"/>
      <c r="L11" s="307"/>
      <c r="M11" s="308"/>
      <c r="N11" s="309"/>
      <c r="O11" s="412">
        <f t="shared" si="0"/>
        <v>0</v>
      </c>
      <c r="P11" s="413">
        <f t="shared" si="1"/>
        <v>0</v>
      </c>
      <c r="Q11" s="711">
        <f>'t1'!M11</f>
        <v>0</v>
      </c>
    </row>
    <row r="12" spans="1:17" ht="14.1" customHeight="1" x14ac:dyDescent="0.2">
      <c r="A12" s="135" t="str">
        <f>'t1'!A12</f>
        <v>MEDICO I FASCIA T.P.</v>
      </c>
      <c r="B12" s="201" t="str">
        <f>'t1'!B12</f>
        <v>0D0585</v>
      </c>
      <c r="C12" s="305"/>
      <c r="D12" s="306"/>
      <c r="E12" s="305"/>
      <c r="F12" s="306"/>
      <c r="G12" s="305"/>
      <c r="H12" s="307"/>
      <c r="I12" s="460"/>
      <c r="J12" s="307"/>
      <c r="K12" s="460"/>
      <c r="L12" s="307"/>
      <c r="M12" s="308"/>
      <c r="N12" s="309"/>
      <c r="O12" s="412">
        <f t="shared" si="0"/>
        <v>0</v>
      </c>
      <c r="P12" s="413">
        <f t="shared" si="1"/>
        <v>0</v>
      </c>
      <c r="Q12" s="711">
        <f>'t1'!M12</f>
        <v>0</v>
      </c>
    </row>
    <row r="13" spans="1:17" ht="14.1" customHeight="1" x14ac:dyDescent="0.2">
      <c r="A13" s="135" t="str">
        <f>'t1'!A13</f>
        <v>MEDICO II FASCIA T.D.</v>
      </c>
      <c r="B13" s="201" t="str">
        <f>'t1'!B13</f>
        <v>0D0586</v>
      </c>
      <c r="C13" s="305"/>
      <c r="D13" s="306"/>
      <c r="E13" s="305"/>
      <c r="F13" s="306"/>
      <c r="G13" s="305"/>
      <c r="H13" s="307"/>
      <c r="I13" s="460"/>
      <c r="J13" s="307"/>
      <c r="K13" s="460"/>
      <c r="L13" s="307"/>
      <c r="M13" s="308"/>
      <c r="N13" s="309"/>
      <c r="O13" s="412">
        <f t="shared" si="0"/>
        <v>0</v>
      </c>
      <c r="P13" s="413">
        <f t="shared" si="1"/>
        <v>0</v>
      </c>
      <c r="Q13" s="711">
        <f>'t1'!M13</f>
        <v>0</v>
      </c>
    </row>
    <row r="14" spans="1:17" ht="14.1" customHeight="1" x14ac:dyDescent="0.2">
      <c r="A14" s="135" t="str">
        <f>'t1'!A14</f>
        <v>MEDICO I FASCIA T.D.</v>
      </c>
      <c r="B14" s="201" t="str">
        <f>'t1'!B14</f>
        <v>0D0496</v>
      </c>
      <c r="C14" s="305"/>
      <c r="D14" s="306"/>
      <c r="E14" s="305"/>
      <c r="F14" s="306"/>
      <c r="G14" s="305"/>
      <c r="H14" s="307"/>
      <c r="I14" s="460"/>
      <c r="J14" s="307"/>
      <c r="K14" s="460"/>
      <c r="L14" s="307"/>
      <c r="M14" s="308"/>
      <c r="N14" s="309"/>
      <c r="O14" s="412">
        <f t="shared" si="0"/>
        <v>0</v>
      </c>
      <c r="P14" s="413">
        <f t="shared" si="1"/>
        <v>0</v>
      </c>
      <c r="Q14" s="711">
        <f>'t1'!M14</f>
        <v>0</v>
      </c>
    </row>
    <row r="15" spans="1:17" ht="14.1" customHeight="1" x14ac:dyDescent="0.2">
      <c r="A15" s="135" t="str">
        <f>'t1'!A15</f>
        <v>PROFESSIONISTI II LIVELLO</v>
      </c>
      <c r="B15" s="201" t="str">
        <f>'t1'!B15</f>
        <v>0D0PR2</v>
      </c>
      <c r="C15" s="305"/>
      <c r="D15" s="306"/>
      <c r="E15" s="305"/>
      <c r="F15" s="306"/>
      <c r="G15" s="305"/>
      <c r="H15" s="307"/>
      <c r="I15" s="460"/>
      <c r="J15" s="307"/>
      <c r="K15" s="460"/>
      <c r="L15" s="307"/>
      <c r="M15" s="308"/>
      <c r="N15" s="309"/>
      <c r="O15" s="412">
        <f t="shared" si="0"/>
        <v>0</v>
      </c>
      <c r="P15" s="413">
        <f t="shared" si="1"/>
        <v>0</v>
      </c>
      <c r="Q15" s="711">
        <f>'t1'!M15</f>
        <v>0</v>
      </c>
    </row>
    <row r="16" spans="1:17" ht="14.1" customHeight="1" x14ac:dyDescent="0.2">
      <c r="A16" s="135" t="str">
        <f>'t1'!A16</f>
        <v>PROFESSIONISTI I LIVELLO</v>
      </c>
      <c r="B16" s="201" t="str">
        <f>'t1'!B16</f>
        <v>0D0PR1</v>
      </c>
      <c r="C16" s="305"/>
      <c r="D16" s="306"/>
      <c r="E16" s="305"/>
      <c r="F16" s="306"/>
      <c r="G16" s="305"/>
      <c r="H16" s="307"/>
      <c r="I16" s="460"/>
      <c r="J16" s="307"/>
      <c r="K16" s="460"/>
      <c r="L16" s="307"/>
      <c r="M16" s="308"/>
      <c r="N16" s="309"/>
      <c r="O16" s="412">
        <f t="shared" si="0"/>
        <v>0</v>
      </c>
      <c r="P16" s="413">
        <f t="shared" si="1"/>
        <v>0</v>
      </c>
      <c r="Q16" s="711">
        <f>'t1'!M16</f>
        <v>0</v>
      </c>
    </row>
    <row r="17" spans="1:20" ht="14.1" customHeight="1" x14ac:dyDescent="0.2">
      <c r="A17" s="135" t="str">
        <f>'t1'!A17</f>
        <v>ELEVATE PROFESSIONALITA'</v>
      </c>
      <c r="B17" s="201" t="str">
        <f>'t1'!B17</f>
        <v>0EP981</v>
      </c>
      <c r="C17" s="305"/>
      <c r="D17" s="306"/>
      <c r="E17" s="305"/>
      <c r="F17" s="306"/>
      <c r="G17" s="305"/>
      <c r="H17" s="307"/>
      <c r="I17" s="460"/>
      <c r="J17" s="307"/>
      <c r="K17" s="460"/>
      <c r="L17" s="307"/>
      <c r="M17" s="308"/>
      <c r="N17" s="309"/>
      <c r="O17" s="412">
        <f t="shared" ref="O17:P21" si="2">SUM(C17,E17,G17,I17,K17,M17)</f>
        <v>0</v>
      </c>
      <c r="P17" s="413">
        <f t="shared" si="2"/>
        <v>0</v>
      </c>
      <c r="Q17" s="711">
        <f>'t1'!M17</f>
        <v>0</v>
      </c>
    </row>
    <row r="18" spans="1:20" ht="14.1" customHeight="1" x14ac:dyDescent="0.2">
      <c r="A18" s="135" t="str">
        <f>'t1'!A18</f>
        <v>FUNZIONARI</v>
      </c>
      <c r="B18" s="201" t="str">
        <f>'t1'!B18</f>
        <v>0FZ000</v>
      </c>
      <c r="C18" s="305"/>
      <c r="D18" s="306"/>
      <c r="E18" s="305"/>
      <c r="F18" s="306"/>
      <c r="G18" s="305"/>
      <c r="H18" s="307"/>
      <c r="I18" s="460"/>
      <c r="J18" s="307"/>
      <c r="K18" s="460"/>
      <c r="L18" s="307"/>
      <c r="M18" s="308"/>
      <c r="N18" s="309"/>
      <c r="O18" s="412">
        <f t="shared" si="2"/>
        <v>0</v>
      </c>
      <c r="P18" s="413">
        <f t="shared" si="2"/>
        <v>0</v>
      </c>
      <c r="Q18" s="711">
        <f>'t1'!M18</f>
        <v>0</v>
      </c>
    </row>
    <row r="19" spans="1:20" ht="14.1" customHeight="1" x14ac:dyDescent="0.2">
      <c r="A19" s="135" t="str">
        <f>'t1'!A19</f>
        <v>ASSISTENTI</v>
      </c>
      <c r="B19" s="201" t="str">
        <f>'t1'!B19</f>
        <v>0AS000</v>
      </c>
      <c r="C19" s="305"/>
      <c r="D19" s="306"/>
      <c r="E19" s="305"/>
      <c r="F19" s="306">
        <v>1</v>
      </c>
      <c r="G19" s="305"/>
      <c r="H19" s="307"/>
      <c r="I19" s="460"/>
      <c r="J19" s="307"/>
      <c r="K19" s="460"/>
      <c r="L19" s="307"/>
      <c r="M19" s="308"/>
      <c r="N19" s="309"/>
      <c r="O19" s="412">
        <f t="shared" si="2"/>
        <v>0</v>
      </c>
      <c r="P19" s="413">
        <f t="shared" si="2"/>
        <v>1</v>
      </c>
      <c r="Q19" s="711">
        <f>'t1'!M19</f>
        <v>1</v>
      </c>
    </row>
    <row r="20" spans="1:20" ht="14.1" customHeight="1" x14ac:dyDescent="0.2">
      <c r="A20" s="135" t="str">
        <f>'t1'!A20</f>
        <v>OPERATORI</v>
      </c>
      <c r="B20" s="201" t="str">
        <f>'t1'!B20</f>
        <v>0OP000</v>
      </c>
      <c r="C20" s="305"/>
      <c r="D20" s="306"/>
      <c r="E20" s="305"/>
      <c r="F20" s="306"/>
      <c r="G20" s="305"/>
      <c r="H20" s="307"/>
      <c r="I20" s="460"/>
      <c r="J20" s="307"/>
      <c r="K20" s="460"/>
      <c r="L20" s="307"/>
      <c r="M20" s="308"/>
      <c r="N20" s="309"/>
      <c r="O20" s="412">
        <f t="shared" si="2"/>
        <v>0</v>
      </c>
      <c r="P20" s="413">
        <f t="shared" si="2"/>
        <v>0</v>
      </c>
      <c r="Q20" s="711">
        <f>'t1'!M20</f>
        <v>0</v>
      </c>
    </row>
    <row r="21" spans="1:20" ht="14.1" customHeight="1" thickBot="1" x14ac:dyDescent="0.25">
      <c r="A21" s="135" t="str">
        <f>'t1'!A21</f>
        <v>CONTRATTISTI</v>
      </c>
      <c r="B21" s="201" t="str">
        <f>'t1'!B21</f>
        <v>000061</v>
      </c>
      <c r="C21" s="305"/>
      <c r="D21" s="306"/>
      <c r="E21" s="305"/>
      <c r="F21" s="306"/>
      <c r="G21" s="305"/>
      <c r="H21" s="307"/>
      <c r="I21" s="460"/>
      <c r="J21" s="307"/>
      <c r="K21" s="460"/>
      <c r="L21" s="307"/>
      <c r="M21" s="308"/>
      <c r="N21" s="309"/>
      <c r="O21" s="412">
        <f t="shared" si="2"/>
        <v>0</v>
      </c>
      <c r="P21" s="413">
        <f t="shared" si="2"/>
        <v>0</v>
      </c>
      <c r="Q21" s="711">
        <f>'t1'!M21</f>
        <v>0</v>
      </c>
    </row>
    <row r="22" spans="1:20" ht="12" customHeight="1" thickTop="1" thickBot="1" x14ac:dyDescent="0.25">
      <c r="A22" s="34" t="s">
        <v>60</v>
      </c>
      <c r="B22" s="35"/>
      <c r="C22" s="414">
        <f t="shared" ref="C22:P22" si="3">SUM(C6:C21)</f>
        <v>0</v>
      </c>
      <c r="D22" s="415">
        <f t="shared" si="3"/>
        <v>0</v>
      </c>
      <c r="E22" s="414">
        <f t="shared" si="3"/>
        <v>0</v>
      </c>
      <c r="F22" s="415">
        <f t="shared" si="3"/>
        <v>1</v>
      </c>
      <c r="G22" s="414">
        <f t="shared" si="3"/>
        <v>0</v>
      </c>
      <c r="H22" s="415">
        <f t="shared" si="3"/>
        <v>0</v>
      </c>
      <c r="I22" s="461">
        <f t="shared" si="3"/>
        <v>0</v>
      </c>
      <c r="J22" s="415">
        <f t="shared" si="3"/>
        <v>0</v>
      </c>
      <c r="K22" s="461">
        <f t="shared" si="3"/>
        <v>0</v>
      </c>
      <c r="L22" s="415">
        <f t="shared" si="3"/>
        <v>0</v>
      </c>
      <c r="M22" s="462">
        <f t="shared" si="3"/>
        <v>0</v>
      </c>
      <c r="N22" s="415">
        <f t="shared" si="3"/>
        <v>0</v>
      </c>
      <c r="O22" s="414">
        <f t="shared" si="3"/>
        <v>0</v>
      </c>
      <c r="P22" s="415">
        <f t="shared" si="3"/>
        <v>1</v>
      </c>
      <c r="Q22" s="711"/>
    </row>
    <row r="23" spans="1:20" ht="18" customHeight="1" x14ac:dyDescent="0.2">
      <c r="A23" s="18" t="str">
        <f>'t1'!$A$23</f>
        <v>(a) personale a tempo indeterminato al quale viene applicato un contratto di lavoro di tipo privatistico (es.:tipografico,chimico,edile,metalmeccanico,portierato, ecc.)</v>
      </c>
      <c r="B23" s="2"/>
      <c r="C23" s="3"/>
      <c r="D23" s="3"/>
      <c r="E23" s="3"/>
      <c r="F23" s="3"/>
      <c r="G23" s="3"/>
      <c r="H23" s="3"/>
      <c r="I23" s="3"/>
      <c r="J23" s="3"/>
      <c r="K23" s="3"/>
      <c r="L23" s="3"/>
      <c r="M23" s="3"/>
      <c r="N23" s="3"/>
      <c r="O23" s="69"/>
      <c r="P23" s="36"/>
      <c r="Q23" s="711"/>
      <c r="R23" s="36"/>
      <c r="S23" s="36"/>
      <c r="T23" s="36"/>
    </row>
    <row r="24" spans="1:20" s="3" customFormat="1" ht="11.25" x14ac:dyDescent="0.2">
      <c r="A24" s="18"/>
      <c r="B24" s="2"/>
    </row>
  </sheetData>
  <sheetProtection algorithmName="SHA-512" hashValue="jbZfxAM75zYZB22wtkTu5i2nk4PWEaFGy7XTFC2t3JAtGX453a8C4ftAgkg2IWZN8WsqN7fYjQSRqdTJdPv8sw==" saltValue="KHe5g5jRcB3LxgiIY8ajsA==" spinCount="100000" sheet="1" formatColumns="0" selectLockedCells="1"/>
  <mergeCells count="6">
    <mergeCell ref="M3:P3"/>
    <mergeCell ref="A1:N1"/>
    <mergeCell ref="G4:H4"/>
    <mergeCell ref="I4:J4"/>
    <mergeCell ref="M4:N4"/>
    <mergeCell ref="K4:L4"/>
  </mergeCells>
  <phoneticPr fontId="30" type="noConversion"/>
  <conditionalFormatting sqref="A6:P21">
    <cfRule type="expression" dxfId="39" priority="1" stopIfTrue="1">
      <formula>$Q6&gt;0</formula>
    </cfRule>
  </conditionalFormatting>
  <printOptions horizontalCentered="1" verticalCentered="1"/>
  <pageMargins left="0" right="0" top="0.19685039370078741" bottom="0.15748031496062992" header="0.19685039370078741" footer="0.15748031496062992"/>
  <pageSetup paperSize="9" scale="70"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oglio17"/>
  <dimension ref="A1:AZ24"/>
  <sheetViews>
    <sheetView showGridLines="0" workbookViewId="0">
      <pane xSplit="2" ySplit="5" topLeftCell="H6" activePane="bottomRight" state="frozen"/>
      <selection activeCell="C4" sqref="C4:C6"/>
      <selection pane="topRight" activeCell="C4" sqref="C4:C6"/>
      <selection pane="bottomLeft" activeCell="C4" sqref="C4:C6"/>
      <selection pane="bottomRight" activeCell="AC19" sqref="AC19"/>
    </sheetView>
  </sheetViews>
  <sheetFormatPr defaultColWidth="9.33203125" defaultRowHeight="17.25" customHeight="1" x14ac:dyDescent="0.2"/>
  <cols>
    <col min="1" max="1" width="37.1640625" style="3" customWidth="1"/>
    <col min="2" max="2" width="8.6640625" style="2" bestFit="1" customWidth="1"/>
    <col min="3" max="26" width="7.6640625" style="3" customWidth="1"/>
    <col min="27" max="48" width="8.5" style="3" customWidth="1"/>
    <col min="49" max="49" width="15.1640625" style="607" bestFit="1" customWidth="1"/>
    <col min="50" max="50" width="8.6640625" style="3" customWidth="1"/>
    <col min="51" max="51" width="8.33203125" style="3" customWidth="1"/>
    <col min="52" max="52" width="9.33203125" style="3" hidden="1" customWidth="1"/>
    <col min="53" max="16384" width="9.33203125" style="3"/>
  </cols>
  <sheetData>
    <row r="1" spans="1:52" ht="43.5" customHeight="1" x14ac:dyDescent="0.2">
      <c r="A1" s="1527" t="s">
        <v>287</v>
      </c>
      <c r="C1" s="1447" t="str">
        <f>'t1'!A1</f>
        <v>ENTI PUBBLICI NON ECONOMICI - anno 2024</v>
      </c>
      <c r="D1" s="1447"/>
      <c r="E1" s="1447"/>
      <c r="F1" s="1447"/>
      <c r="G1" s="1447"/>
      <c r="H1" s="1447"/>
      <c r="I1" s="1447"/>
      <c r="J1" s="1447"/>
      <c r="K1" s="1447"/>
      <c r="L1" s="1447"/>
      <c r="M1" s="1447"/>
      <c r="N1" s="1447"/>
      <c r="O1" s="1447"/>
      <c r="P1" s="1447"/>
      <c r="Q1" s="1447"/>
      <c r="R1" s="1447"/>
      <c r="S1" s="1447"/>
      <c r="T1" s="1447"/>
      <c r="U1" s="1447"/>
      <c r="V1" s="1447"/>
      <c r="W1" s="1447"/>
      <c r="Z1" s="285"/>
      <c r="AA1" s="1447" t="str">
        <f>C1</f>
        <v>ENTI PUBBLICI NON ECONOMICI - anno 2024</v>
      </c>
      <c r="AB1" s="1447"/>
      <c r="AC1" s="1447"/>
      <c r="AD1" s="1447"/>
      <c r="AE1" s="1447"/>
      <c r="AF1" s="1447"/>
      <c r="AG1" s="1447"/>
      <c r="AH1" s="1447"/>
      <c r="AI1" s="1447"/>
      <c r="AJ1" s="1447"/>
      <c r="AK1" s="1447"/>
      <c r="AL1" s="1447"/>
      <c r="AM1" s="1447"/>
      <c r="AN1" s="1447"/>
      <c r="AO1" s="1447"/>
      <c r="AP1" s="1447"/>
      <c r="AQ1" s="1447"/>
      <c r="AR1" s="1447"/>
      <c r="AS1" s="1447"/>
      <c r="AV1" s="285"/>
      <c r="AY1" s="608"/>
    </row>
    <row r="2" spans="1:52" ht="30" customHeight="1" thickBot="1" x14ac:dyDescent="0.25">
      <c r="A2" s="1528"/>
      <c r="S2" s="1489"/>
      <c r="T2" s="1489"/>
      <c r="U2" s="1489"/>
      <c r="V2" s="1489"/>
      <c r="W2" s="1489"/>
      <c r="X2" s="1489"/>
      <c r="Y2" s="1489"/>
      <c r="Z2" s="1489"/>
      <c r="AO2" s="1489"/>
      <c r="AP2" s="1489"/>
      <c r="AQ2" s="1489"/>
      <c r="AR2" s="1489"/>
      <c r="AS2" s="1489"/>
      <c r="AT2" s="1489"/>
      <c r="AU2" s="1489"/>
      <c r="AV2" s="1489"/>
    </row>
    <row r="3" spans="1:52" ht="12" thickBot="1" x14ac:dyDescent="0.25">
      <c r="A3" s="7"/>
      <c r="B3" s="239" t="s">
        <v>234</v>
      </c>
      <c r="C3" s="112"/>
      <c r="D3" s="9"/>
      <c r="E3" s="9"/>
      <c r="F3" s="9"/>
      <c r="G3" s="9"/>
      <c r="H3" s="9"/>
      <c r="I3" s="9"/>
      <c r="J3" s="9"/>
      <c r="K3" s="9"/>
      <c r="L3" s="9"/>
      <c r="M3" s="9"/>
      <c r="N3" s="9"/>
      <c r="O3" s="9"/>
      <c r="P3" s="9"/>
      <c r="Q3" s="9"/>
      <c r="R3" s="9"/>
      <c r="S3" s="9"/>
      <c r="T3" s="9"/>
      <c r="U3" s="9"/>
      <c r="V3" s="9"/>
      <c r="W3" s="9"/>
      <c r="X3" s="247"/>
      <c r="Y3" s="247"/>
      <c r="Z3" s="109"/>
      <c r="AA3" s="247"/>
      <c r="AB3" s="247"/>
      <c r="AC3" s="247"/>
      <c r="AD3" s="247"/>
      <c r="AE3" s="247"/>
      <c r="AF3" s="247"/>
      <c r="AG3" s="247"/>
      <c r="AH3" s="247"/>
      <c r="AI3" s="247"/>
      <c r="AJ3" s="247"/>
      <c r="AK3" s="247"/>
      <c r="AL3" s="247"/>
      <c r="AM3" s="247"/>
      <c r="AN3" s="247"/>
      <c r="AO3" s="247"/>
      <c r="AP3" s="247"/>
      <c r="AQ3" s="247"/>
      <c r="AR3" s="247"/>
      <c r="AS3" s="247"/>
      <c r="AT3" s="247"/>
      <c r="AU3" s="247"/>
      <c r="AV3" s="248"/>
      <c r="AX3" s="609"/>
      <c r="AY3" s="610"/>
    </row>
    <row r="4" spans="1:52" ht="34.5" thickTop="1" x14ac:dyDescent="0.2">
      <c r="A4" s="19" t="s">
        <v>130</v>
      </c>
      <c r="B4" s="240" t="s">
        <v>97</v>
      </c>
      <c r="C4" s="113" t="s">
        <v>269</v>
      </c>
      <c r="D4" s="114"/>
      <c r="E4" s="1472" t="s">
        <v>354</v>
      </c>
      <c r="F4" s="1473"/>
      <c r="G4" s="1472" t="s">
        <v>111</v>
      </c>
      <c r="H4" s="1512"/>
      <c r="I4" s="1472" t="s">
        <v>112</v>
      </c>
      <c r="J4" s="1473"/>
      <c r="K4" s="115" t="s">
        <v>109</v>
      </c>
      <c r="L4" s="115"/>
      <c r="M4" s="1472" t="s">
        <v>103</v>
      </c>
      <c r="N4" s="1473"/>
      <c r="O4" s="115" t="s">
        <v>270</v>
      </c>
      <c r="P4" s="115"/>
      <c r="Q4" s="115" t="s">
        <v>107</v>
      </c>
      <c r="R4" s="114"/>
      <c r="S4" s="113" t="s">
        <v>102</v>
      </c>
      <c r="T4" s="115"/>
      <c r="U4" s="115" t="s">
        <v>100</v>
      </c>
      <c r="V4" s="116"/>
      <c r="W4" s="115" t="s">
        <v>106</v>
      </c>
      <c r="X4" s="114"/>
      <c r="Y4" s="115" t="s">
        <v>108</v>
      </c>
      <c r="Z4" s="114"/>
      <c r="AA4" s="115" t="s">
        <v>99</v>
      </c>
      <c r="AB4" s="114"/>
      <c r="AC4" s="115" t="s">
        <v>110</v>
      </c>
      <c r="AD4" s="116"/>
      <c r="AE4" s="115" t="s">
        <v>114</v>
      </c>
      <c r="AF4" s="115"/>
      <c r="AG4" s="115" t="s">
        <v>113</v>
      </c>
      <c r="AH4" s="117"/>
      <c r="AI4" s="115" t="s">
        <v>104</v>
      </c>
      <c r="AJ4" s="116"/>
      <c r="AK4" s="115" t="s">
        <v>105</v>
      </c>
      <c r="AL4" s="115"/>
      <c r="AM4" s="115" t="s">
        <v>98</v>
      </c>
      <c r="AN4" s="116"/>
      <c r="AO4" s="115" t="s">
        <v>101</v>
      </c>
      <c r="AP4" s="114"/>
      <c r="AQ4" s="115" t="s">
        <v>271</v>
      </c>
      <c r="AR4" s="114"/>
      <c r="AS4" s="116" t="s">
        <v>272</v>
      </c>
      <c r="AT4" s="113"/>
      <c r="AU4" s="116" t="s">
        <v>60</v>
      </c>
      <c r="AV4" s="117"/>
      <c r="AX4" s="611" t="s">
        <v>517</v>
      </c>
      <c r="AY4" s="612"/>
    </row>
    <row r="5" spans="1:52" s="246" customFormat="1" ht="12" thickBot="1" x14ac:dyDescent="0.25">
      <c r="A5" s="715" t="s">
        <v>593</v>
      </c>
      <c r="B5" s="241"/>
      <c r="C5" s="242" t="s">
        <v>58</v>
      </c>
      <c r="D5" s="243" t="s">
        <v>59</v>
      </c>
      <c r="E5" s="242" t="s">
        <v>58</v>
      </c>
      <c r="F5" s="243" t="s">
        <v>59</v>
      </c>
      <c r="G5" s="242" t="s">
        <v>58</v>
      </c>
      <c r="H5" s="243" t="s">
        <v>59</v>
      </c>
      <c r="I5" s="242" t="s">
        <v>58</v>
      </c>
      <c r="J5" s="243" t="s">
        <v>59</v>
      </c>
      <c r="K5" s="242" t="s">
        <v>58</v>
      </c>
      <c r="L5" s="243" t="s">
        <v>59</v>
      </c>
      <c r="M5" s="242" t="s">
        <v>58</v>
      </c>
      <c r="N5" s="244" t="s">
        <v>59</v>
      </c>
      <c r="O5" s="242" t="s">
        <v>58</v>
      </c>
      <c r="P5" s="244" t="s">
        <v>59</v>
      </c>
      <c r="Q5" s="242" t="s">
        <v>58</v>
      </c>
      <c r="R5" s="244" t="s">
        <v>59</v>
      </c>
      <c r="S5" s="242" t="s">
        <v>58</v>
      </c>
      <c r="T5" s="244" t="s">
        <v>59</v>
      </c>
      <c r="U5" s="242" t="s">
        <v>58</v>
      </c>
      <c r="V5" s="244" t="s">
        <v>59</v>
      </c>
      <c r="W5" s="242" t="s">
        <v>58</v>
      </c>
      <c r="X5" s="243" t="s">
        <v>59</v>
      </c>
      <c r="Y5" s="242" t="s">
        <v>58</v>
      </c>
      <c r="Z5" s="243" t="s">
        <v>59</v>
      </c>
      <c r="AA5" s="242" t="s">
        <v>58</v>
      </c>
      <c r="AB5" s="243" t="s">
        <v>59</v>
      </c>
      <c r="AC5" s="242" t="s">
        <v>58</v>
      </c>
      <c r="AD5" s="244" t="s">
        <v>59</v>
      </c>
      <c r="AE5" s="242" t="s">
        <v>58</v>
      </c>
      <c r="AF5" s="244" t="s">
        <v>59</v>
      </c>
      <c r="AG5" s="242" t="s">
        <v>58</v>
      </c>
      <c r="AH5" s="244" t="s">
        <v>59</v>
      </c>
      <c r="AI5" s="242" t="s">
        <v>58</v>
      </c>
      <c r="AJ5" s="244" t="s">
        <v>59</v>
      </c>
      <c r="AK5" s="242" t="s">
        <v>58</v>
      </c>
      <c r="AL5" s="244" t="s">
        <v>59</v>
      </c>
      <c r="AM5" s="242" t="s">
        <v>58</v>
      </c>
      <c r="AN5" s="244" t="s">
        <v>59</v>
      </c>
      <c r="AO5" s="242" t="s">
        <v>58</v>
      </c>
      <c r="AP5" s="243" t="s">
        <v>59</v>
      </c>
      <c r="AQ5" s="242" t="s">
        <v>58</v>
      </c>
      <c r="AR5" s="243" t="s">
        <v>59</v>
      </c>
      <c r="AS5" s="245" t="s">
        <v>58</v>
      </c>
      <c r="AT5" s="243" t="s">
        <v>59</v>
      </c>
      <c r="AU5" s="245" t="s">
        <v>58</v>
      </c>
      <c r="AV5" s="244" t="s">
        <v>59</v>
      </c>
      <c r="AW5" s="613"/>
      <c r="AX5" s="614" t="s">
        <v>58</v>
      </c>
      <c r="AY5" s="615" t="s">
        <v>59</v>
      </c>
    </row>
    <row r="6" spans="1:52" ht="12.75" customHeight="1" thickTop="1" x14ac:dyDescent="0.2">
      <c r="A6" s="17" t="str">
        <f>'t1'!A6</f>
        <v>DIRETTORE GENERALE</v>
      </c>
      <c r="B6" s="208" t="str">
        <f>'t1'!B6</f>
        <v>0D0097</v>
      </c>
      <c r="C6" s="594"/>
      <c r="D6" s="595"/>
      <c r="E6" s="594"/>
      <c r="F6" s="595"/>
      <c r="G6" s="594"/>
      <c r="H6" s="595"/>
      <c r="I6" s="594"/>
      <c r="J6" s="595"/>
      <c r="K6" s="594"/>
      <c r="L6" s="595"/>
      <c r="M6" s="594"/>
      <c r="N6" s="595"/>
      <c r="O6" s="594"/>
      <c r="P6" s="595"/>
      <c r="Q6" s="594"/>
      <c r="R6" s="595"/>
      <c r="S6" s="594"/>
      <c r="T6" s="595"/>
      <c r="U6" s="594"/>
      <c r="V6" s="595"/>
      <c r="W6" s="594"/>
      <c r="X6" s="595"/>
      <c r="Y6" s="594"/>
      <c r="Z6" s="595"/>
      <c r="AA6" s="594"/>
      <c r="AB6" s="595"/>
      <c r="AC6" s="594"/>
      <c r="AD6" s="595"/>
      <c r="AE6" s="594"/>
      <c r="AF6" s="595"/>
      <c r="AG6" s="594"/>
      <c r="AH6" s="595"/>
      <c r="AI6" s="594"/>
      <c r="AJ6" s="595"/>
      <c r="AK6" s="594"/>
      <c r="AL6" s="595"/>
      <c r="AM6" s="594"/>
      <c r="AN6" s="595"/>
      <c r="AO6" s="594"/>
      <c r="AP6" s="595"/>
      <c r="AQ6" s="594"/>
      <c r="AR6" s="595"/>
      <c r="AS6" s="594"/>
      <c r="AT6" s="595"/>
      <c r="AU6" s="416">
        <f>SUM(S6,U6,W6,Y6,C6,E6,G6,I6,K6,M6,O6,Q6,AA6,AC6,AE6,AG6,AI6,AK6,AM6,AO6,AQ6,AS6)</f>
        <v>0</v>
      </c>
      <c r="AV6" s="417">
        <f>SUM(T6,V6,X6,Z6,D6,F6,H6,J6,L6,N6,P6,R6,AB6,AD6,AF6,AH6,AJ6,AL6,AN6,AP6,AR6,AT6)</f>
        <v>0</v>
      </c>
      <c r="AW6" s="616" t="str">
        <f>IF((AU6+AV6)=(AX6+AY6),"OK","Controllare totale")</f>
        <v>OK</v>
      </c>
      <c r="AX6" s="617">
        <f>'t1'!K6-'t3'!C6-'t3'!E6-'t3'!G6-'t3'!I6+'t3'!K6+'t3'!M6+'t3'!O6</f>
        <v>0</v>
      </c>
      <c r="AY6" s="618">
        <f>'t1'!L6-'t3'!D6-'t3'!F6-'t3'!H6-'t3'!J6+'t3'!L6+'t3'!N6+'t3'!P6</f>
        <v>0</v>
      </c>
      <c r="AZ6" s="712">
        <f>'t1'!M6</f>
        <v>0</v>
      </c>
    </row>
    <row r="7" spans="1:52" ht="12.75" customHeight="1" x14ac:dyDescent="0.2">
      <c r="A7" s="16" t="str">
        <f>'t1'!A7</f>
        <v>DIRIGENTE I FASCIA</v>
      </c>
      <c r="B7" s="134" t="str">
        <f>'t1'!B7</f>
        <v>0D0077</v>
      </c>
      <c r="C7" s="189"/>
      <c r="D7" s="226"/>
      <c r="E7" s="189"/>
      <c r="F7" s="226"/>
      <c r="G7" s="189"/>
      <c r="H7" s="226"/>
      <c r="I7" s="189"/>
      <c r="J7" s="226"/>
      <c r="K7" s="189"/>
      <c r="L7" s="226"/>
      <c r="M7" s="189"/>
      <c r="N7" s="226"/>
      <c r="O7" s="189"/>
      <c r="P7" s="226"/>
      <c r="Q7" s="189"/>
      <c r="R7" s="226"/>
      <c r="S7" s="189"/>
      <c r="T7" s="226"/>
      <c r="U7" s="189"/>
      <c r="V7" s="226"/>
      <c r="W7" s="189"/>
      <c r="X7" s="226"/>
      <c r="Y7" s="189"/>
      <c r="Z7" s="226"/>
      <c r="AA7" s="189"/>
      <c r="AB7" s="226"/>
      <c r="AC7" s="189"/>
      <c r="AD7" s="226"/>
      <c r="AE7" s="189"/>
      <c r="AF7" s="226"/>
      <c r="AG7" s="189"/>
      <c r="AH7" s="226"/>
      <c r="AI7" s="189"/>
      <c r="AJ7" s="226"/>
      <c r="AK7" s="189"/>
      <c r="AL7" s="226"/>
      <c r="AM7" s="189"/>
      <c r="AN7" s="226"/>
      <c r="AO7" s="189"/>
      <c r="AP7" s="226"/>
      <c r="AQ7" s="189"/>
      <c r="AR7" s="226"/>
      <c r="AS7" s="189"/>
      <c r="AT7" s="226"/>
      <c r="AU7" s="418">
        <f>SUM(C7,E7,G7,I7,K7,M7,O7,Q7,S7,U7,W7,Y7,AA7,AC7,AE7,AG7,AI7,AK7,AM7,AO7,AQ7,AS7)</f>
        <v>0</v>
      </c>
      <c r="AV7" s="379">
        <f t="shared" ref="AV7:AV16" si="0">SUM(T7,V7,X7,Z7,D7,F7,H7,J7,L7,N7,P7,R7,AB7,AD7,AF7,AH7,AJ7,AL7,AN7,AP7,AR7,AT7)</f>
        <v>0</v>
      </c>
      <c r="AW7" s="616" t="str">
        <f t="shared" ref="AW7:AW16" si="1">IF((AU7+AV7)=(AX7+AY7),"OK","Controllare totale")</f>
        <v>OK</v>
      </c>
      <c r="AX7" s="619">
        <f>'t1'!K7-'t3'!C7-'t3'!E7-'t3'!G7-'t3'!I7+'t3'!K7+'t3'!M7+'t3'!O7</f>
        <v>0</v>
      </c>
      <c r="AY7" s="620">
        <f>'t1'!L7-'t3'!D7-'t3'!F7-'t3'!H7-'t3'!J7+'t3'!L7+'t3'!N7+'t3'!P7</f>
        <v>0</v>
      </c>
      <c r="AZ7" s="712">
        <f>'t1'!M7</f>
        <v>0</v>
      </c>
    </row>
    <row r="8" spans="1:52" ht="12.75" customHeight="1" x14ac:dyDescent="0.2">
      <c r="A8" s="16" t="str">
        <f>'t1'!A8</f>
        <v>DIRIGENTE I FASCIA A TEMPO DETERM.</v>
      </c>
      <c r="B8" s="134" t="str">
        <f>'t1'!B8</f>
        <v>0D0078</v>
      </c>
      <c r="C8" s="189"/>
      <c r="D8" s="226"/>
      <c r="E8" s="189"/>
      <c r="F8" s="226"/>
      <c r="G8" s="189"/>
      <c r="H8" s="226"/>
      <c r="I8" s="189"/>
      <c r="J8" s="226"/>
      <c r="K8" s="189"/>
      <c r="L8" s="226"/>
      <c r="M8" s="189"/>
      <c r="N8" s="226"/>
      <c r="O8" s="189"/>
      <c r="P8" s="226"/>
      <c r="Q8" s="189"/>
      <c r="R8" s="226"/>
      <c r="S8" s="189"/>
      <c r="T8" s="226"/>
      <c r="U8" s="189"/>
      <c r="V8" s="226"/>
      <c r="W8" s="189"/>
      <c r="X8" s="226"/>
      <c r="Y8" s="189"/>
      <c r="Z8" s="226"/>
      <c r="AA8" s="189"/>
      <c r="AB8" s="226"/>
      <c r="AC8" s="189"/>
      <c r="AD8" s="226"/>
      <c r="AE8" s="189"/>
      <c r="AF8" s="226"/>
      <c r="AG8" s="189"/>
      <c r="AH8" s="226"/>
      <c r="AI8" s="189"/>
      <c r="AJ8" s="226"/>
      <c r="AK8" s="189"/>
      <c r="AL8" s="226"/>
      <c r="AM8" s="189"/>
      <c r="AN8" s="226"/>
      <c r="AO8" s="189"/>
      <c r="AP8" s="226"/>
      <c r="AQ8" s="189"/>
      <c r="AR8" s="226"/>
      <c r="AS8" s="189"/>
      <c r="AT8" s="226"/>
      <c r="AU8" s="418">
        <f>SUM(S8,U8,W8,Y8,C8,E8,G8,I8,K8,M8,O8,Q8,AA8,AC8,AE8,AG8,AI8,AK8,AM8,AO8,AQ8,AS8)</f>
        <v>0</v>
      </c>
      <c r="AV8" s="379">
        <f t="shared" si="0"/>
        <v>0</v>
      </c>
      <c r="AW8" s="616" t="str">
        <f t="shared" si="1"/>
        <v>OK</v>
      </c>
      <c r="AX8" s="619">
        <f>'t1'!K8-'t3'!C8-'t3'!E8-'t3'!G8-'t3'!I8+'t3'!K8+'t3'!M8+'t3'!O8</f>
        <v>0</v>
      </c>
      <c r="AY8" s="620">
        <f>'t1'!L8-'t3'!D8-'t3'!F8-'t3'!H8-'t3'!J8+'t3'!L8+'t3'!N8+'t3'!P8</f>
        <v>0</v>
      </c>
      <c r="AZ8" s="712">
        <f>'t1'!M8</f>
        <v>0</v>
      </c>
    </row>
    <row r="9" spans="1:52" ht="12.75" customHeight="1" x14ac:dyDescent="0.2">
      <c r="A9" s="16" t="str">
        <f>'t1'!A9</f>
        <v>DIRIGENTE II FASCIA</v>
      </c>
      <c r="B9" s="134" t="str">
        <f>'t1'!B9</f>
        <v>0D0079</v>
      </c>
      <c r="C9" s="189"/>
      <c r="D9" s="226"/>
      <c r="E9" s="189"/>
      <c r="F9" s="226"/>
      <c r="G9" s="189"/>
      <c r="H9" s="226"/>
      <c r="I9" s="189"/>
      <c r="J9" s="226"/>
      <c r="K9" s="189"/>
      <c r="L9" s="226"/>
      <c r="M9" s="189"/>
      <c r="N9" s="226"/>
      <c r="O9" s="189"/>
      <c r="P9" s="226"/>
      <c r="Q9" s="189"/>
      <c r="R9" s="226"/>
      <c r="S9" s="189"/>
      <c r="T9" s="226"/>
      <c r="U9" s="189"/>
      <c r="V9" s="226"/>
      <c r="W9" s="189"/>
      <c r="X9" s="226"/>
      <c r="Y9" s="189"/>
      <c r="Z9" s="226"/>
      <c r="AA9" s="189"/>
      <c r="AB9" s="226"/>
      <c r="AC9" s="189"/>
      <c r="AD9" s="226"/>
      <c r="AE9" s="189"/>
      <c r="AF9" s="226"/>
      <c r="AG9" s="189"/>
      <c r="AH9" s="226"/>
      <c r="AI9" s="189"/>
      <c r="AJ9" s="226"/>
      <c r="AK9" s="189"/>
      <c r="AL9" s="226"/>
      <c r="AM9" s="189"/>
      <c r="AN9" s="226"/>
      <c r="AO9" s="189"/>
      <c r="AP9" s="226"/>
      <c r="AQ9" s="189"/>
      <c r="AR9" s="226"/>
      <c r="AS9" s="189"/>
      <c r="AT9" s="226"/>
      <c r="AU9" s="418">
        <f t="shared" ref="AU9:AU16" si="2">SUM(S9,U9,W9,Y9,C9,E9,G9,I9,K9,M9,O9,Q9,AA9,AC9,AE9,AG9,AI9,AK9,AM9,AO9,AQ9,AS9)</f>
        <v>0</v>
      </c>
      <c r="AV9" s="379">
        <f t="shared" si="0"/>
        <v>0</v>
      </c>
      <c r="AW9" s="616" t="str">
        <f t="shared" si="1"/>
        <v>OK</v>
      </c>
      <c r="AX9" s="619">
        <f>'t1'!K9-'t3'!C9-'t3'!E9-'t3'!G9-'t3'!I9+'t3'!K9+'t3'!M9+'t3'!O9</f>
        <v>0</v>
      </c>
      <c r="AY9" s="620">
        <f>'t1'!L9-'t3'!D9-'t3'!F9-'t3'!H9-'t3'!J9+'t3'!L9+'t3'!N9+'t3'!P9</f>
        <v>0</v>
      </c>
      <c r="AZ9" s="712">
        <f>'t1'!M9</f>
        <v>0</v>
      </c>
    </row>
    <row r="10" spans="1:52" ht="12.75" customHeight="1" x14ac:dyDescent="0.2">
      <c r="A10" s="16" t="str">
        <f>'t1'!A10</f>
        <v>DIRIGENTE II FASCIA A TEMPO DETERM.</v>
      </c>
      <c r="B10" s="134" t="str">
        <f>'t1'!B10</f>
        <v>0D0080</v>
      </c>
      <c r="C10" s="189"/>
      <c r="D10" s="226"/>
      <c r="E10" s="189"/>
      <c r="F10" s="226"/>
      <c r="G10" s="189"/>
      <c r="H10" s="226"/>
      <c r="I10" s="189"/>
      <c r="J10" s="226"/>
      <c r="K10" s="189"/>
      <c r="L10" s="226"/>
      <c r="M10" s="189"/>
      <c r="N10" s="226"/>
      <c r="O10" s="189"/>
      <c r="P10" s="226"/>
      <c r="Q10" s="189"/>
      <c r="R10" s="226"/>
      <c r="S10" s="189"/>
      <c r="T10" s="226"/>
      <c r="U10" s="189"/>
      <c r="V10" s="226"/>
      <c r="W10" s="189"/>
      <c r="X10" s="226"/>
      <c r="Y10" s="189"/>
      <c r="Z10" s="226"/>
      <c r="AA10" s="189"/>
      <c r="AB10" s="226"/>
      <c r="AC10" s="189"/>
      <c r="AD10" s="226"/>
      <c r="AE10" s="189"/>
      <c r="AF10" s="226"/>
      <c r="AG10" s="189"/>
      <c r="AH10" s="226"/>
      <c r="AI10" s="189"/>
      <c r="AJ10" s="226"/>
      <c r="AK10" s="189"/>
      <c r="AL10" s="226"/>
      <c r="AM10" s="189"/>
      <c r="AN10" s="226"/>
      <c r="AO10" s="189"/>
      <c r="AP10" s="226"/>
      <c r="AQ10" s="189"/>
      <c r="AR10" s="226"/>
      <c r="AS10" s="189"/>
      <c r="AT10" s="226"/>
      <c r="AU10" s="418">
        <f t="shared" si="2"/>
        <v>0</v>
      </c>
      <c r="AV10" s="379">
        <f t="shared" si="0"/>
        <v>0</v>
      </c>
      <c r="AW10" s="616" t="str">
        <f t="shared" si="1"/>
        <v>OK</v>
      </c>
      <c r="AX10" s="619">
        <f>'t1'!K10-'t3'!C10-'t3'!E10-'t3'!G10-'t3'!I10+'t3'!K10+'t3'!M10+'t3'!O10</f>
        <v>0</v>
      </c>
      <c r="AY10" s="620">
        <f>'t1'!L10-'t3'!D10-'t3'!F10-'t3'!H10-'t3'!J10+'t3'!L10+'t3'!N10+'t3'!P10</f>
        <v>0</v>
      </c>
      <c r="AZ10" s="712">
        <f>'t1'!M10</f>
        <v>0</v>
      </c>
    </row>
    <row r="11" spans="1:52" ht="12.75" customHeight="1" x14ac:dyDescent="0.2">
      <c r="A11" s="16" t="str">
        <f>'t1'!A11</f>
        <v>MEDICO II FASCIA T.P.</v>
      </c>
      <c r="B11" s="134" t="str">
        <f>'t1'!B11</f>
        <v>0D0584</v>
      </c>
      <c r="C11" s="189"/>
      <c r="D11" s="226"/>
      <c r="E11" s="189"/>
      <c r="F11" s="226"/>
      <c r="G11" s="189"/>
      <c r="H11" s="226"/>
      <c r="I11" s="189"/>
      <c r="J11" s="226"/>
      <c r="K11" s="189"/>
      <c r="L11" s="226"/>
      <c r="M11" s="189"/>
      <c r="N11" s="226"/>
      <c r="O11" s="189"/>
      <c r="P11" s="226"/>
      <c r="Q11" s="189"/>
      <c r="R11" s="226"/>
      <c r="S11" s="189"/>
      <c r="T11" s="226"/>
      <c r="U11" s="189"/>
      <c r="V11" s="226"/>
      <c r="W11" s="189"/>
      <c r="X11" s="226"/>
      <c r="Y11" s="189"/>
      <c r="Z11" s="226"/>
      <c r="AA11" s="189"/>
      <c r="AB11" s="226"/>
      <c r="AC11" s="189"/>
      <c r="AD11" s="226"/>
      <c r="AE11" s="189"/>
      <c r="AF11" s="226"/>
      <c r="AG11" s="189"/>
      <c r="AH11" s="226"/>
      <c r="AI11" s="189"/>
      <c r="AJ11" s="226"/>
      <c r="AK11" s="189"/>
      <c r="AL11" s="226"/>
      <c r="AM11" s="189"/>
      <c r="AN11" s="226"/>
      <c r="AO11" s="189"/>
      <c r="AP11" s="226"/>
      <c r="AQ11" s="189"/>
      <c r="AR11" s="226"/>
      <c r="AS11" s="189"/>
      <c r="AT11" s="226"/>
      <c r="AU11" s="418">
        <f t="shared" si="2"/>
        <v>0</v>
      </c>
      <c r="AV11" s="379">
        <f t="shared" si="0"/>
        <v>0</v>
      </c>
      <c r="AW11" s="616" t="str">
        <f t="shared" si="1"/>
        <v>OK</v>
      </c>
      <c r="AX11" s="619">
        <f>'t1'!K11-'t3'!C11-'t3'!E11-'t3'!G11-'t3'!I11+'t3'!K11+'t3'!M11+'t3'!O11</f>
        <v>0</v>
      </c>
      <c r="AY11" s="620">
        <f>'t1'!L11-'t3'!D11-'t3'!F11-'t3'!H11-'t3'!J11+'t3'!L11+'t3'!N11+'t3'!P11</f>
        <v>0</v>
      </c>
      <c r="AZ11" s="712">
        <f>'t1'!M11</f>
        <v>0</v>
      </c>
    </row>
    <row r="12" spans="1:52" ht="12.75" customHeight="1" x14ac:dyDescent="0.2">
      <c r="A12" s="16" t="str">
        <f>'t1'!A12</f>
        <v>MEDICO I FASCIA T.P.</v>
      </c>
      <c r="B12" s="134" t="str">
        <f>'t1'!B12</f>
        <v>0D0585</v>
      </c>
      <c r="C12" s="189"/>
      <c r="D12" s="226"/>
      <c r="E12" s="189"/>
      <c r="F12" s="226"/>
      <c r="G12" s="189"/>
      <c r="H12" s="226"/>
      <c r="I12" s="189"/>
      <c r="J12" s="226"/>
      <c r="K12" s="189"/>
      <c r="L12" s="226"/>
      <c r="M12" s="189"/>
      <c r="N12" s="226"/>
      <c r="O12" s="189"/>
      <c r="P12" s="226"/>
      <c r="Q12" s="189"/>
      <c r="R12" s="226"/>
      <c r="S12" s="189"/>
      <c r="T12" s="226"/>
      <c r="U12" s="189"/>
      <c r="V12" s="226"/>
      <c r="W12" s="189"/>
      <c r="X12" s="226"/>
      <c r="Y12" s="189"/>
      <c r="Z12" s="226"/>
      <c r="AA12" s="189"/>
      <c r="AB12" s="226"/>
      <c r="AC12" s="189"/>
      <c r="AD12" s="226"/>
      <c r="AE12" s="189"/>
      <c r="AF12" s="226"/>
      <c r="AG12" s="189"/>
      <c r="AH12" s="226"/>
      <c r="AI12" s="189"/>
      <c r="AJ12" s="226"/>
      <c r="AK12" s="189"/>
      <c r="AL12" s="226"/>
      <c r="AM12" s="189"/>
      <c r="AN12" s="226"/>
      <c r="AO12" s="189"/>
      <c r="AP12" s="226"/>
      <c r="AQ12" s="189"/>
      <c r="AR12" s="226"/>
      <c r="AS12" s="189"/>
      <c r="AT12" s="226"/>
      <c r="AU12" s="418">
        <f t="shared" si="2"/>
        <v>0</v>
      </c>
      <c r="AV12" s="379">
        <f t="shared" si="0"/>
        <v>0</v>
      </c>
      <c r="AW12" s="616" t="str">
        <f t="shared" si="1"/>
        <v>OK</v>
      </c>
      <c r="AX12" s="619">
        <f>'t1'!K12-'t3'!C12-'t3'!E12-'t3'!G12-'t3'!I12+'t3'!K12+'t3'!M12+'t3'!O12</f>
        <v>0</v>
      </c>
      <c r="AY12" s="620">
        <f>'t1'!L12-'t3'!D12-'t3'!F12-'t3'!H12-'t3'!J12+'t3'!L12+'t3'!N12+'t3'!P12</f>
        <v>0</v>
      </c>
      <c r="AZ12" s="712">
        <f>'t1'!M12</f>
        <v>0</v>
      </c>
    </row>
    <row r="13" spans="1:52" ht="12.75" customHeight="1" x14ac:dyDescent="0.2">
      <c r="A13" s="16" t="str">
        <f>'t1'!A13</f>
        <v>MEDICO II FASCIA T.D.</v>
      </c>
      <c r="B13" s="134" t="str">
        <f>'t1'!B13</f>
        <v>0D0586</v>
      </c>
      <c r="C13" s="189"/>
      <c r="D13" s="226"/>
      <c r="E13" s="189"/>
      <c r="F13" s="226"/>
      <c r="G13" s="189"/>
      <c r="H13" s="226"/>
      <c r="I13" s="189"/>
      <c r="J13" s="226"/>
      <c r="K13" s="189"/>
      <c r="L13" s="226"/>
      <c r="M13" s="189"/>
      <c r="N13" s="226"/>
      <c r="O13" s="189"/>
      <c r="P13" s="226"/>
      <c r="Q13" s="189"/>
      <c r="R13" s="226"/>
      <c r="S13" s="189"/>
      <c r="T13" s="226"/>
      <c r="U13" s="189"/>
      <c r="V13" s="226"/>
      <c r="W13" s="189"/>
      <c r="X13" s="226"/>
      <c r="Y13" s="189"/>
      <c r="Z13" s="226"/>
      <c r="AA13" s="189"/>
      <c r="AB13" s="226"/>
      <c r="AC13" s="189"/>
      <c r="AD13" s="226"/>
      <c r="AE13" s="189"/>
      <c r="AF13" s="226"/>
      <c r="AG13" s="189"/>
      <c r="AH13" s="226"/>
      <c r="AI13" s="189"/>
      <c r="AJ13" s="226"/>
      <c r="AK13" s="189"/>
      <c r="AL13" s="226"/>
      <c r="AM13" s="189"/>
      <c r="AN13" s="226"/>
      <c r="AO13" s="189"/>
      <c r="AP13" s="226"/>
      <c r="AQ13" s="189"/>
      <c r="AR13" s="226"/>
      <c r="AS13" s="189"/>
      <c r="AT13" s="226"/>
      <c r="AU13" s="418">
        <f t="shared" si="2"/>
        <v>0</v>
      </c>
      <c r="AV13" s="379">
        <f t="shared" si="0"/>
        <v>0</v>
      </c>
      <c r="AW13" s="616" t="str">
        <f t="shared" si="1"/>
        <v>OK</v>
      </c>
      <c r="AX13" s="619">
        <f>'t1'!K13-'t3'!C13-'t3'!E13-'t3'!G13-'t3'!I13+'t3'!K13+'t3'!M13+'t3'!O13</f>
        <v>0</v>
      </c>
      <c r="AY13" s="620">
        <f>'t1'!L13-'t3'!D13-'t3'!F13-'t3'!H13-'t3'!J13+'t3'!L13+'t3'!N13+'t3'!P13</f>
        <v>0</v>
      </c>
      <c r="AZ13" s="712">
        <f>'t1'!M13</f>
        <v>0</v>
      </c>
    </row>
    <row r="14" spans="1:52" ht="12.75" customHeight="1" x14ac:dyDescent="0.2">
      <c r="A14" s="16" t="str">
        <f>'t1'!A14</f>
        <v>MEDICO I FASCIA T.D.</v>
      </c>
      <c r="B14" s="134" t="str">
        <f>'t1'!B14</f>
        <v>0D0496</v>
      </c>
      <c r="C14" s="189"/>
      <c r="D14" s="226"/>
      <c r="E14" s="189"/>
      <c r="F14" s="226"/>
      <c r="G14" s="189"/>
      <c r="H14" s="226"/>
      <c r="I14" s="189"/>
      <c r="J14" s="226"/>
      <c r="K14" s="189"/>
      <c r="L14" s="226"/>
      <c r="M14" s="189"/>
      <c r="N14" s="226"/>
      <c r="O14" s="189"/>
      <c r="P14" s="226"/>
      <c r="Q14" s="189"/>
      <c r="R14" s="226"/>
      <c r="S14" s="189"/>
      <c r="T14" s="226"/>
      <c r="U14" s="189"/>
      <c r="V14" s="226"/>
      <c r="W14" s="189"/>
      <c r="X14" s="226"/>
      <c r="Y14" s="189"/>
      <c r="Z14" s="226"/>
      <c r="AA14" s="189"/>
      <c r="AB14" s="226"/>
      <c r="AC14" s="189"/>
      <c r="AD14" s="226"/>
      <c r="AE14" s="189"/>
      <c r="AF14" s="226"/>
      <c r="AG14" s="189"/>
      <c r="AH14" s="226"/>
      <c r="AI14" s="189"/>
      <c r="AJ14" s="226"/>
      <c r="AK14" s="189"/>
      <c r="AL14" s="226"/>
      <c r="AM14" s="189"/>
      <c r="AN14" s="226"/>
      <c r="AO14" s="189"/>
      <c r="AP14" s="226"/>
      <c r="AQ14" s="189"/>
      <c r="AR14" s="226"/>
      <c r="AS14" s="189"/>
      <c r="AT14" s="226"/>
      <c r="AU14" s="418">
        <f t="shared" si="2"/>
        <v>0</v>
      </c>
      <c r="AV14" s="379">
        <f t="shared" si="0"/>
        <v>0</v>
      </c>
      <c r="AW14" s="616" t="str">
        <f t="shared" si="1"/>
        <v>OK</v>
      </c>
      <c r="AX14" s="619">
        <f>'t1'!K14-'t3'!C14-'t3'!E14-'t3'!G14-'t3'!I14+'t3'!K14+'t3'!M14+'t3'!O14</f>
        <v>0</v>
      </c>
      <c r="AY14" s="620">
        <f>'t1'!L14-'t3'!D14-'t3'!F14-'t3'!H14-'t3'!J14+'t3'!L14+'t3'!N14+'t3'!P14</f>
        <v>0</v>
      </c>
      <c r="AZ14" s="712">
        <f>'t1'!M14</f>
        <v>0</v>
      </c>
    </row>
    <row r="15" spans="1:52" ht="12.75" customHeight="1" x14ac:dyDescent="0.2">
      <c r="A15" s="16" t="str">
        <f>'t1'!A15</f>
        <v>PROFESSIONISTI II LIVELLO</v>
      </c>
      <c r="B15" s="134" t="str">
        <f>'t1'!B15</f>
        <v>0D0PR2</v>
      </c>
      <c r="C15" s="189"/>
      <c r="D15" s="226"/>
      <c r="E15" s="189"/>
      <c r="F15" s="226"/>
      <c r="G15" s="189"/>
      <c r="H15" s="226"/>
      <c r="I15" s="189"/>
      <c r="J15" s="226"/>
      <c r="K15" s="189"/>
      <c r="L15" s="226"/>
      <c r="M15" s="189"/>
      <c r="N15" s="226"/>
      <c r="O15" s="189"/>
      <c r="P15" s="226"/>
      <c r="Q15" s="189"/>
      <c r="R15" s="226"/>
      <c r="S15" s="189"/>
      <c r="T15" s="226"/>
      <c r="U15" s="189"/>
      <c r="V15" s="226"/>
      <c r="W15" s="189"/>
      <c r="X15" s="226"/>
      <c r="Y15" s="189"/>
      <c r="Z15" s="226"/>
      <c r="AA15" s="189"/>
      <c r="AB15" s="226"/>
      <c r="AC15" s="189"/>
      <c r="AD15" s="226"/>
      <c r="AE15" s="189"/>
      <c r="AF15" s="226"/>
      <c r="AG15" s="189"/>
      <c r="AH15" s="226"/>
      <c r="AI15" s="189"/>
      <c r="AJ15" s="226"/>
      <c r="AK15" s="189"/>
      <c r="AL15" s="226"/>
      <c r="AM15" s="189"/>
      <c r="AN15" s="226"/>
      <c r="AO15" s="189"/>
      <c r="AP15" s="226"/>
      <c r="AQ15" s="189"/>
      <c r="AR15" s="226"/>
      <c r="AS15" s="189"/>
      <c r="AT15" s="226"/>
      <c r="AU15" s="418">
        <f t="shared" si="2"/>
        <v>0</v>
      </c>
      <c r="AV15" s="379">
        <f t="shared" si="0"/>
        <v>0</v>
      </c>
      <c r="AW15" s="616" t="str">
        <f t="shared" si="1"/>
        <v>OK</v>
      </c>
      <c r="AX15" s="619">
        <f>'t1'!K15-'t3'!C15-'t3'!E15-'t3'!G15-'t3'!I15+'t3'!K15+'t3'!M15+'t3'!O15</f>
        <v>0</v>
      </c>
      <c r="AY15" s="620">
        <f>'t1'!L15-'t3'!D15-'t3'!F15-'t3'!H15-'t3'!J15+'t3'!L15+'t3'!N15+'t3'!P15</f>
        <v>0</v>
      </c>
      <c r="AZ15" s="712">
        <f>'t1'!M15</f>
        <v>0</v>
      </c>
    </row>
    <row r="16" spans="1:52" ht="12.75" customHeight="1" x14ac:dyDescent="0.2">
      <c r="A16" s="16" t="str">
        <f>'t1'!A16</f>
        <v>PROFESSIONISTI I LIVELLO</v>
      </c>
      <c r="B16" s="134" t="str">
        <f>'t1'!B16</f>
        <v>0D0PR1</v>
      </c>
      <c r="C16" s="189"/>
      <c r="D16" s="226"/>
      <c r="E16" s="189"/>
      <c r="F16" s="226"/>
      <c r="G16" s="189"/>
      <c r="H16" s="226"/>
      <c r="I16" s="189"/>
      <c r="J16" s="226"/>
      <c r="K16" s="189"/>
      <c r="L16" s="226"/>
      <c r="M16" s="189"/>
      <c r="N16" s="226"/>
      <c r="O16" s="189"/>
      <c r="P16" s="226"/>
      <c r="Q16" s="189"/>
      <c r="R16" s="226"/>
      <c r="S16" s="189"/>
      <c r="T16" s="226"/>
      <c r="U16" s="189"/>
      <c r="V16" s="226"/>
      <c r="W16" s="189"/>
      <c r="X16" s="226"/>
      <c r="Y16" s="189"/>
      <c r="Z16" s="226"/>
      <c r="AA16" s="189"/>
      <c r="AB16" s="226"/>
      <c r="AC16" s="189"/>
      <c r="AD16" s="226"/>
      <c r="AE16" s="189"/>
      <c r="AF16" s="226"/>
      <c r="AG16" s="189"/>
      <c r="AH16" s="226"/>
      <c r="AI16" s="189"/>
      <c r="AJ16" s="226"/>
      <c r="AK16" s="189"/>
      <c r="AL16" s="226"/>
      <c r="AM16" s="189"/>
      <c r="AN16" s="226"/>
      <c r="AO16" s="189"/>
      <c r="AP16" s="226"/>
      <c r="AQ16" s="189"/>
      <c r="AR16" s="226"/>
      <c r="AS16" s="189"/>
      <c r="AT16" s="226"/>
      <c r="AU16" s="418">
        <f t="shared" si="2"/>
        <v>0</v>
      </c>
      <c r="AV16" s="379">
        <f t="shared" si="0"/>
        <v>0</v>
      </c>
      <c r="AW16" s="616" t="str">
        <f t="shared" si="1"/>
        <v>OK</v>
      </c>
      <c r="AX16" s="619">
        <f>'t1'!K16-'t3'!C16-'t3'!E16-'t3'!G16-'t3'!I16+'t3'!K16+'t3'!M16+'t3'!O16</f>
        <v>0</v>
      </c>
      <c r="AY16" s="620">
        <f>'t1'!L16-'t3'!D16-'t3'!F16-'t3'!H16-'t3'!J16+'t3'!L16+'t3'!N16+'t3'!P16</f>
        <v>0</v>
      </c>
      <c r="AZ16" s="712">
        <f>'t1'!M16</f>
        <v>0</v>
      </c>
    </row>
    <row r="17" spans="1:52" ht="12.75" customHeight="1" x14ac:dyDescent="0.2">
      <c r="A17" s="16" t="str">
        <f>'t1'!A17</f>
        <v>ELEVATE PROFESSIONALITA'</v>
      </c>
      <c r="B17" s="134" t="str">
        <f>'t1'!B17</f>
        <v>0EP981</v>
      </c>
      <c r="C17" s="189"/>
      <c r="D17" s="226"/>
      <c r="E17" s="189"/>
      <c r="F17" s="226"/>
      <c r="G17" s="189"/>
      <c r="H17" s="226"/>
      <c r="I17" s="189"/>
      <c r="J17" s="226"/>
      <c r="K17" s="189"/>
      <c r="L17" s="226"/>
      <c r="M17" s="189"/>
      <c r="N17" s="226"/>
      <c r="O17" s="189"/>
      <c r="P17" s="226"/>
      <c r="Q17" s="189"/>
      <c r="R17" s="226"/>
      <c r="S17" s="189"/>
      <c r="T17" s="226"/>
      <c r="U17" s="189"/>
      <c r="V17" s="226"/>
      <c r="W17" s="189"/>
      <c r="X17" s="226"/>
      <c r="Y17" s="189"/>
      <c r="Z17" s="226"/>
      <c r="AA17" s="189"/>
      <c r="AB17" s="226"/>
      <c r="AC17" s="189"/>
      <c r="AD17" s="226"/>
      <c r="AE17" s="189"/>
      <c r="AF17" s="226"/>
      <c r="AG17" s="189"/>
      <c r="AH17" s="226"/>
      <c r="AI17" s="189"/>
      <c r="AJ17" s="226"/>
      <c r="AK17" s="189"/>
      <c r="AL17" s="226"/>
      <c r="AM17" s="189"/>
      <c r="AN17" s="226"/>
      <c r="AO17" s="189"/>
      <c r="AP17" s="226"/>
      <c r="AQ17" s="189"/>
      <c r="AR17" s="226"/>
      <c r="AS17" s="189"/>
      <c r="AT17" s="226"/>
      <c r="AU17" s="418">
        <f t="shared" ref="AU17:AV21" si="3">SUM(S17,U17,W17,Y17,C17,E17,G17,I17,K17,M17,O17,Q17,AA17,AC17,AE17,AG17,AI17,AK17,AM17,AO17,AQ17,AS17)</f>
        <v>0</v>
      </c>
      <c r="AV17" s="379">
        <f t="shared" si="3"/>
        <v>0</v>
      </c>
      <c r="AW17" s="616" t="str">
        <f t="shared" ref="AW17:AW21" si="4">IF((AU17+AV17)=(AX17+AY17),"OK","Controllare totale")</f>
        <v>OK</v>
      </c>
      <c r="AX17" s="619">
        <f>'t1'!K17-'t3'!C17-'t3'!E17-'t3'!G17-'t3'!I17+'t3'!K17+'t3'!M17+'t3'!O17</f>
        <v>0</v>
      </c>
      <c r="AY17" s="620">
        <f>'t1'!L17-'t3'!D17-'t3'!F17-'t3'!H17-'t3'!J17+'t3'!L17+'t3'!N17+'t3'!P17</f>
        <v>0</v>
      </c>
      <c r="AZ17" s="712">
        <f>'t1'!M17</f>
        <v>0</v>
      </c>
    </row>
    <row r="18" spans="1:52" ht="12.75" customHeight="1" x14ac:dyDescent="0.2">
      <c r="A18" s="16" t="str">
        <f>'t1'!A18</f>
        <v>FUNZIONARI</v>
      </c>
      <c r="B18" s="134" t="str">
        <f>'t1'!B18</f>
        <v>0FZ000</v>
      </c>
      <c r="C18" s="189"/>
      <c r="D18" s="226"/>
      <c r="E18" s="189"/>
      <c r="F18" s="226"/>
      <c r="G18" s="189"/>
      <c r="H18" s="226"/>
      <c r="I18" s="189"/>
      <c r="J18" s="226"/>
      <c r="K18" s="189"/>
      <c r="L18" s="226"/>
      <c r="M18" s="189"/>
      <c r="N18" s="226"/>
      <c r="O18" s="189"/>
      <c r="P18" s="226"/>
      <c r="Q18" s="189"/>
      <c r="R18" s="226"/>
      <c r="S18" s="189"/>
      <c r="T18" s="226"/>
      <c r="U18" s="189"/>
      <c r="V18" s="226"/>
      <c r="W18" s="189"/>
      <c r="X18" s="226"/>
      <c r="Y18" s="189"/>
      <c r="Z18" s="226"/>
      <c r="AA18" s="189"/>
      <c r="AB18" s="226"/>
      <c r="AC18" s="189"/>
      <c r="AD18" s="226"/>
      <c r="AE18" s="189"/>
      <c r="AF18" s="226"/>
      <c r="AG18" s="189"/>
      <c r="AH18" s="226"/>
      <c r="AI18" s="189"/>
      <c r="AJ18" s="226"/>
      <c r="AK18" s="189"/>
      <c r="AL18" s="226"/>
      <c r="AM18" s="189"/>
      <c r="AN18" s="226"/>
      <c r="AO18" s="189"/>
      <c r="AP18" s="226"/>
      <c r="AQ18" s="189"/>
      <c r="AR18" s="226"/>
      <c r="AS18" s="189"/>
      <c r="AT18" s="226"/>
      <c r="AU18" s="418">
        <f t="shared" si="3"/>
        <v>0</v>
      </c>
      <c r="AV18" s="379">
        <f t="shared" si="3"/>
        <v>0</v>
      </c>
      <c r="AW18" s="616" t="str">
        <f t="shared" si="4"/>
        <v>OK</v>
      </c>
      <c r="AX18" s="619">
        <f>'t1'!K18-'t3'!C18-'t3'!E18-'t3'!G18-'t3'!I18+'t3'!K18+'t3'!M18+'t3'!O18</f>
        <v>0</v>
      </c>
      <c r="AY18" s="620">
        <f>'t1'!L18-'t3'!D18-'t3'!F18-'t3'!H18-'t3'!J18+'t3'!L18+'t3'!N18+'t3'!P18</f>
        <v>0</v>
      </c>
      <c r="AZ18" s="712">
        <f>'t1'!M18</f>
        <v>0</v>
      </c>
    </row>
    <row r="19" spans="1:52" ht="12.75" customHeight="1" x14ac:dyDescent="0.2">
      <c r="A19" s="16" t="str">
        <f>'t1'!A19</f>
        <v>ASSISTENTI</v>
      </c>
      <c r="B19" s="134" t="str">
        <f>'t1'!B19</f>
        <v>0AS000</v>
      </c>
      <c r="C19" s="189"/>
      <c r="D19" s="226"/>
      <c r="E19" s="189"/>
      <c r="F19" s="226"/>
      <c r="G19" s="189"/>
      <c r="H19" s="226"/>
      <c r="I19" s="189"/>
      <c r="J19" s="226"/>
      <c r="K19" s="189"/>
      <c r="L19" s="226"/>
      <c r="M19" s="189"/>
      <c r="N19" s="226"/>
      <c r="O19" s="189"/>
      <c r="P19" s="226"/>
      <c r="Q19" s="189"/>
      <c r="R19" s="226"/>
      <c r="S19" s="189"/>
      <c r="T19" s="226"/>
      <c r="U19" s="189"/>
      <c r="V19" s="226"/>
      <c r="W19" s="189"/>
      <c r="X19" s="226"/>
      <c r="Y19" s="189"/>
      <c r="Z19" s="226"/>
      <c r="AA19" s="189"/>
      <c r="AB19" s="226">
        <v>1</v>
      </c>
      <c r="AC19" s="189"/>
      <c r="AD19" s="226"/>
      <c r="AE19" s="189"/>
      <c r="AF19" s="226"/>
      <c r="AG19" s="189"/>
      <c r="AH19" s="226"/>
      <c r="AI19" s="189"/>
      <c r="AJ19" s="226"/>
      <c r="AK19" s="189"/>
      <c r="AL19" s="226"/>
      <c r="AM19" s="189"/>
      <c r="AN19" s="226"/>
      <c r="AO19" s="189"/>
      <c r="AP19" s="226"/>
      <c r="AQ19" s="189"/>
      <c r="AR19" s="226"/>
      <c r="AS19" s="189"/>
      <c r="AT19" s="226"/>
      <c r="AU19" s="418">
        <f t="shared" si="3"/>
        <v>0</v>
      </c>
      <c r="AV19" s="379">
        <f t="shared" si="3"/>
        <v>1</v>
      </c>
      <c r="AW19" s="616" t="str">
        <f t="shared" si="4"/>
        <v>OK</v>
      </c>
      <c r="AX19" s="619">
        <f>'t1'!K19-'t3'!C19-'t3'!E19-'t3'!G19-'t3'!I19+'t3'!K19+'t3'!M19+'t3'!O19</f>
        <v>0</v>
      </c>
      <c r="AY19" s="620">
        <f>'t1'!L19-'t3'!D19-'t3'!F19-'t3'!H19-'t3'!J19+'t3'!L19+'t3'!N19+'t3'!P19</f>
        <v>1</v>
      </c>
      <c r="AZ19" s="712">
        <f>'t1'!M19</f>
        <v>1</v>
      </c>
    </row>
    <row r="20" spans="1:52" ht="12.75" customHeight="1" x14ac:dyDescent="0.2">
      <c r="A20" s="16" t="str">
        <f>'t1'!A20</f>
        <v>OPERATORI</v>
      </c>
      <c r="B20" s="134" t="str">
        <f>'t1'!B20</f>
        <v>0OP000</v>
      </c>
      <c r="C20" s="189"/>
      <c r="D20" s="226"/>
      <c r="E20" s="189"/>
      <c r="F20" s="226"/>
      <c r="G20" s="189"/>
      <c r="H20" s="226"/>
      <c r="I20" s="189"/>
      <c r="J20" s="226"/>
      <c r="K20" s="189"/>
      <c r="L20" s="226"/>
      <c r="M20" s="189"/>
      <c r="N20" s="226"/>
      <c r="O20" s="189"/>
      <c r="P20" s="226"/>
      <c r="Q20" s="189"/>
      <c r="R20" s="226"/>
      <c r="S20" s="189"/>
      <c r="T20" s="226"/>
      <c r="U20" s="189"/>
      <c r="V20" s="226"/>
      <c r="W20" s="189"/>
      <c r="X20" s="226"/>
      <c r="Y20" s="189"/>
      <c r="Z20" s="226"/>
      <c r="AA20" s="189"/>
      <c r="AB20" s="226"/>
      <c r="AC20" s="189"/>
      <c r="AD20" s="226"/>
      <c r="AE20" s="189"/>
      <c r="AF20" s="226"/>
      <c r="AG20" s="189"/>
      <c r="AH20" s="226"/>
      <c r="AI20" s="189"/>
      <c r="AJ20" s="226"/>
      <c r="AK20" s="189"/>
      <c r="AL20" s="226"/>
      <c r="AM20" s="189"/>
      <c r="AN20" s="226"/>
      <c r="AO20" s="189"/>
      <c r="AP20" s="226"/>
      <c r="AQ20" s="189"/>
      <c r="AR20" s="226"/>
      <c r="AS20" s="189"/>
      <c r="AT20" s="226"/>
      <c r="AU20" s="418">
        <f t="shared" si="3"/>
        <v>0</v>
      </c>
      <c r="AV20" s="379">
        <f t="shared" si="3"/>
        <v>0</v>
      </c>
      <c r="AW20" s="616" t="str">
        <f t="shared" si="4"/>
        <v>OK</v>
      </c>
      <c r="AX20" s="619">
        <f>'t1'!K20-'t3'!C20-'t3'!E20-'t3'!G20-'t3'!I20+'t3'!K20+'t3'!M20+'t3'!O20</f>
        <v>0</v>
      </c>
      <c r="AY20" s="620">
        <f>'t1'!L20-'t3'!D20-'t3'!F20-'t3'!H20-'t3'!J20+'t3'!L20+'t3'!N20+'t3'!P20</f>
        <v>0</v>
      </c>
      <c r="AZ20" s="712">
        <f>'t1'!M20</f>
        <v>0</v>
      </c>
    </row>
    <row r="21" spans="1:52" ht="12.75" customHeight="1" thickBot="1" x14ac:dyDescent="0.25">
      <c r="A21" s="16" t="str">
        <f>'t1'!A21</f>
        <v>CONTRATTISTI</v>
      </c>
      <c r="B21" s="134" t="str">
        <f>'t1'!B21</f>
        <v>000061</v>
      </c>
      <c r="C21" s="189"/>
      <c r="D21" s="226"/>
      <c r="E21" s="189"/>
      <c r="F21" s="226"/>
      <c r="G21" s="189"/>
      <c r="H21" s="226"/>
      <c r="I21" s="189"/>
      <c r="J21" s="226"/>
      <c r="K21" s="189"/>
      <c r="L21" s="226"/>
      <c r="M21" s="189"/>
      <c r="N21" s="226"/>
      <c r="O21" s="189"/>
      <c r="P21" s="226"/>
      <c r="Q21" s="189"/>
      <c r="R21" s="226"/>
      <c r="S21" s="189"/>
      <c r="T21" s="226"/>
      <c r="U21" s="189"/>
      <c r="V21" s="226"/>
      <c r="W21" s="189"/>
      <c r="X21" s="226"/>
      <c r="Y21" s="189"/>
      <c r="Z21" s="226"/>
      <c r="AA21" s="189"/>
      <c r="AB21" s="226"/>
      <c r="AC21" s="189"/>
      <c r="AD21" s="226"/>
      <c r="AE21" s="189"/>
      <c r="AF21" s="226"/>
      <c r="AG21" s="189"/>
      <c r="AH21" s="226"/>
      <c r="AI21" s="189"/>
      <c r="AJ21" s="226"/>
      <c r="AK21" s="189"/>
      <c r="AL21" s="226"/>
      <c r="AM21" s="189"/>
      <c r="AN21" s="226"/>
      <c r="AO21" s="189"/>
      <c r="AP21" s="226"/>
      <c r="AQ21" s="189"/>
      <c r="AR21" s="226"/>
      <c r="AS21" s="189"/>
      <c r="AT21" s="226"/>
      <c r="AU21" s="418">
        <f t="shared" si="3"/>
        <v>0</v>
      </c>
      <c r="AV21" s="379">
        <f t="shared" si="3"/>
        <v>0</v>
      </c>
      <c r="AW21" s="616" t="str">
        <f t="shared" si="4"/>
        <v>OK</v>
      </c>
      <c r="AX21" s="619">
        <f>'t1'!K21-'t3'!C21-'t3'!E21-'t3'!G21-'t3'!I21+'t3'!K21+'t3'!M21+'t3'!O21</f>
        <v>0</v>
      </c>
      <c r="AY21" s="620">
        <f>'t1'!L21-'t3'!D21-'t3'!F21-'t3'!H21-'t3'!J21+'t3'!L21+'t3'!N21+'t3'!P21</f>
        <v>0</v>
      </c>
      <c r="AZ21" s="712">
        <f>'t1'!M21</f>
        <v>0</v>
      </c>
    </row>
    <row r="22" spans="1:52" ht="17.25" customHeight="1" thickTop="1" thickBot="1" x14ac:dyDescent="0.25">
      <c r="A22" s="12" t="s">
        <v>60</v>
      </c>
      <c r="B22" s="136"/>
      <c r="C22" s="380">
        <f t="shared" ref="C22:AV22" si="5">SUM(C6:C21)</f>
        <v>0</v>
      </c>
      <c r="D22" s="381">
        <f t="shared" si="5"/>
        <v>0</v>
      </c>
      <c r="E22" s="380">
        <f t="shared" si="5"/>
        <v>0</v>
      </c>
      <c r="F22" s="381">
        <f t="shared" si="5"/>
        <v>0</v>
      </c>
      <c r="G22" s="380">
        <f t="shared" si="5"/>
        <v>0</v>
      </c>
      <c r="H22" s="381">
        <f t="shared" si="5"/>
        <v>0</v>
      </c>
      <c r="I22" s="380">
        <f t="shared" si="5"/>
        <v>0</v>
      </c>
      <c r="J22" s="381">
        <f t="shared" si="5"/>
        <v>0</v>
      </c>
      <c r="K22" s="380">
        <f t="shared" si="5"/>
        <v>0</v>
      </c>
      <c r="L22" s="381">
        <f t="shared" si="5"/>
        <v>0</v>
      </c>
      <c r="M22" s="380">
        <f t="shared" si="5"/>
        <v>0</v>
      </c>
      <c r="N22" s="381">
        <f t="shared" si="5"/>
        <v>0</v>
      </c>
      <c r="O22" s="380">
        <f t="shared" si="5"/>
        <v>0</v>
      </c>
      <c r="P22" s="381">
        <f t="shared" si="5"/>
        <v>0</v>
      </c>
      <c r="Q22" s="380">
        <f t="shared" si="5"/>
        <v>0</v>
      </c>
      <c r="R22" s="381">
        <f t="shared" si="5"/>
        <v>0</v>
      </c>
      <c r="S22" s="380">
        <f t="shared" si="5"/>
        <v>0</v>
      </c>
      <c r="T22" s="381">
        <f t="shared" si="5"/>
        <v>0</v>
      </c>
      <c r="U22" s="380">
        <f t="shared" si="5"/>
        <v>0</v>
      </c>
      <c r="V22" s="381">
        <f t="shared" si="5"/>
        <v>0</v>
      </c>
      <c r="W22" s="380">
        <f t="shared" si="5"/>
        <v>0</v>
      </c>
      <c r="X22" s="381">
        <f t="shared" si="5"/>
        <v>0</v>
      </c>
      <c r="Y22" s="380">
        <f t="shared" si="5"/>
        <v>0</v>
      </c>
      <c r="Z22" s="381">
        <f t="shared" si="5"/>
        <v>0</v>
      </c>
      <c r="AA22" s="380">
        <f t="shared" si="5"/>
        <v>0</v>
      </c>
      <c r="AB22" s="381">
        <f t="shared" si="5"/>
        <v>1</v>
      </c>
      <c r="AC22" s="380">
        <f t="shared" si="5"/>
        <v>0</v>
      </c>
      <c r="AD22" s="381">
        <f t="shared" si="5"/>
        <v>0</v>
      </c>
      <c r="AE22" s="380">
        <f t="shared" si="5"/>
        <v>0</v>
      </c>
      <c r="AF22" s="381">
        <f t="shared" si="5"/>
        <v>0</v>
      </c>
      <c r="AG22" s="380">
        <f t="shared" si="5"/>
        <v>0</v>
      </c>
      <c r="AH22" s="381">
        <f t="shared" si="5"/>
        <v>0</v>
      </c>
      <c r="AI22" s="380">
        <f t="shared" si="5"/>
        <v>0</v>
      </c>
      <c r="AJ22" s="381">
        <f t="shared" si="5"/>
        <v>0</v>
      </c>
      <c r="AK22" s="380">
        <f t="shared" si="5"/>
        <v>0</v>
      </c>
      <c r="AL22" s="381">
        <f t="shared" si="5"/>
        <v>0</v>
      </c>
      <c r="AM22" s="380">
        <f t="shared" si="5"/>
        <v>0</v>
      </c>
      <c r="AN22" s="381">
        <f t="shared" si="5"/>
        <v>0</v>
      </c>
      <c r="AO22" s="380">
        <f t="shared" si="5"/>
        <v>0</v>
      </c>
      <c r="AP22" s="381">
        <f t="shared" si="5"/>
        <v>0</v>
      </c>
      <c r="AQ22" s="380">
        <f t="shared" si="5"/>
        <v>0</v>
      </c>
      <c r="AR22" s="381">
        <f t="shared" si="5"/>
        <v>0</v>
      </c>
      <c r="AS22" s="380">
        <f t="shared" si="5"/>
        <v>0</v>
      </c>
      <c r="AT22" s="381">
        <f t="shared" si="5"/>
        <v>0</v>
      </c>
      <c r="AU22" s="380">
        <f t="shared" si="5"/>
        <v>0</v>
      </c>
      <c r="AV22" s="382">
        <f t="shared" si="5"/>
        <v>1</v>
      </c>
      <c r="AW22" s="616" t="str">
        <f>IF((AU37+AV37)=(AX22+AY22),"OK","Controllare totale")</f>
        <v>Controllare totale</v>
      </c>
      <c r="AX22" s="621">
        <f>SUM(AX6:AX21)</f>
        <v>0</v>
      </c>
      <c r="AY22" s="622">
        <f>SUM(AY6:AY21)</f>
        <v>1</v>
      </c>
    </row>
    <row r="23" spans="1:52" ht="17.25" customHeight="1" x14ac:dyDescent="0.2">
      <c r="C23" s="18" t="str">
        <f>'t1'!$A$23</f>
        <v>(a) personale a tempo indeterminato al quale viene applicato un contratto di lavoro di tipo privatistico (es.:tipografico,chimico,edile,metalmeccanico,portierato, ecc.)</v>
      </c>
      <c r="S23" s="2"/>
      <c r="T23" s="2"/>
      <c r="AA23" s="18" t="str">
        <f>'t1'!$A$23</f>
        <v>(a) personale a tempo indeterminato al quale viene applicato un contratto di lavoro di tipo privatistico (es.:tipografico,chimico,edile,metalmeccanico,portierato, ecc.)</v>
      </c>
    </row>
    <row r="24" spans="1:52" ht="11.25" x14ac:dyDescent="0.2">
      <c r="C24" s="18"/>
      <c r="AA24" s="18"/>
    </row>
  </sheetData>
  <sheetProtection algorithmName="SHA-512" hashValue="IZRtuoJ/QZOdIyUgdBqDTOZD6Qfmxq9aaHOqTqUX5gxwFLmswCJa8qydrONxidNdVXPs6wHg5Pc8OrKebRAgKA==" saltValue="KXgYrtLPkSP0I4XeMEv9vw==" spinCount="100000" sheet="1" formatColumns="0" selectLockedCells="1"/>
  <mergeCells count="9">
    <mergeCell ref="A1:A2"/>
    <mergeCell ref="G4:H4"/>
    <mergeCell ref="S2:Z2"/>
    <mergeCell ref="AO2:AV2"/>
    <mergeCell ref="C1:W1"/>
    <mergeCell ref="AA1:AS1"/>
    <mergeCell ref="E4:F4"/>
    <mergeCell ref="I4:J4"/>
    <mergeCell ref="M4:N4"/>
  </mergeCells>
  <phoneticPr fontId="30" type="noConversion"/>
  <conditionalFormatting sqref="A6:AV21">
    <cfRule type="expression" dxfId="38" priority="1" stopIfTrue="1">
      <formula>$AZ6&gt;0</formula>
    </cfRule>
  </conditionalFormatting>
  <printOptions horizontalCentered="1" verticalCentered="1"/>
  <pageMargins left="0.19685039370078741" right="0.19685039370078741" top="0.19685039370078741" bottom="0.15748031496062992" header="0.23622047244094491" footer="0.19685039370078741"/>
  <pageSetup paperSize="9" scale="75" orientation="landscape" horizontalDpi="300" verticalDpi="4294967292"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oglio29"/>
  <dimension ref="A1:BC26"/>
  <sheetViews>
    <sheetView showGridLines="0" zoomScaleNormal="100" workbookViewId="0">
      <pane xSplit="2" ySplit="7" topLeftCell="AK14" activePane="bottomRight" state="frozen"/>
      <selection activeCell="C4" sqref="C4:C6"/>
      <selection pane="topRight" activeCell="C4" sqref="C4:C6"/>
      <selection pane="bottomLeft" activeCell="C4" sqref="C4:C6"/>
      <selection pane="bottomRight" activeCell="AH21" sqref="AH21"/>
    </sheetView>
  </sheetViews>
  <sheetFormatPr defaultColWidth="10.6640625" defaultRowHeight="11.25" x14ac:dyDescent="0.2"/>
  <cols>
    <col min="1" max="1" width="38.6640625" style="22" customWidth="1"/>
    <col min="2" max="2" width="8.33203125" style="21" customWidth="1"/>
    <col min="3" max="8" width="11.33203125" style="22" hidden="1" customWidth="1"/>
    <col min="9" max="12" width="10.33203125" style="22" hidden="1" customWidth="1"/>
    <col min="13" max="16" width="10.6640625" style="22" hidden="1" customWidth="1"/>
    <col min="17" max="24" width="9.33203125" style="22" hidden="1" customWidth="1"/>
    <col min="25" max="28" width="10.6640625" style="22" hidden="1" customWidth="1"/>
    <col min="29" max="34" width="11.33203125" style="22" customWidth="1"/>
    <col min="35" max="38" width="10.33203125" style="22" customWidth="1"/>
    <col min="39" max="42" width="10.6640625" style="22"/>
    <col min="43" max="50" width="9.33203125" style="22" customWidth="1"/>
    <col min="51" max="52" width="10.6640625" style="22"/>
    <col min="53" max="53" width="0" style="22" hidden="1" customWidth="1"/>
    <col min="54" max="16384" width="10.6640625" style="22"/>
  </cols>
  <sheetData>
    <row r="1" spans="1:55" s="3" customFormat="1" ht="43.5" customHeight="1" x14ac:dyDescent="0.2">
      <c r="A1" s="1447" t="str">
        <f>'t1'!A1</f>
        <v>ENTI PUBBLICI NON ECONOMICI - anno 2024</v>
      </c>
      <c r="B1" s="1447"/>
      <c r="C1" s="1447"/>
      <c r="D1" s="1447"/>
      <c r="E1" s="1447"/>
      <c r="F1" s="1447"/>
      <c r="G1" s="1447"/>
      <c r="H1" s="1447"/>
      <c r="I1" s="1447"/>
      <c r="J1" s="1447"/>
      <c r="K1" s="1447"/>
      <c r="L1" s="1447"/>
      <c r="M1" s="1447"/>
      <c r="N1" s="1447"/>
      <c r="O1" s="1447"/>
      <c r="P1" s="1447"/>
      <c r="Q1" s="1447"/>
      <c r="R1" s="1447"/>
      <c r="S1" s="1447"/>
      <c r="T1" s="1447"/>
      <c r="U1" s="1447"/>
      <c r="V1" s="1447"/>
      <c r="W1" s="1447"/>
      <c r="X1" s="1447"/>
      <c r="Y1" s="1447"/>
      <c r="Z1" s="1447"/>
      <c r="AA1" s="1447"/>
      <c r="AB1" s="1447"/>
      <c r="AC1" s="1447"/>
      <c r="AD1" s="1447"/>
      <c r="AE1" s="1447"/>
      <c r="AF1" s="1447"/>
      <c r="AG1" s="1447"/>
      <c r="AH1" s="1447"/>
      <c r="AI1" s="1447"/>
      <c r="AJ1" s="1447"/>
      <c r="AK1" s="1447"/>
      <c r="AL1" s="1447"/>
      <c r="AM1" s="1447"/>
      <c r="AN1" s="1447"/>
      <c r="AO1" s="1447"/>
      <c r="AP1" s="1447"/>
      <c r="AQ1" s="1447"/>
      <c r="AR1" s="1447"/>
      <c r="AS1" s="1447"/>
      <c r="AT1" s="1447"/>
      <c r="AU1" s="1447"/>
      <c r="AV1" s="1447"/>
      <c r="AW1" s="1447"/>
      <c r="AX1" s="1447"/>
      <c r="AY1" s="1447"/>
      <c r="AZ1" s="1447"/>
      <c r="BA1" s="22"/>
      <c r="BB1" s="22"/>
      <c r="BC1" s="22"/>
    </row>
    <row r="2" spans="1:55" ht="30" customHeight="1" thickBot="1" x14ac:dyDescent="0.25">
      <c r="A2" s="20"/>
      <c r="I2" s="1489"/>
      <c r="J2" s="1489"/>
      <c r="K2" s="1489"/>
      <c r="L2" s="1489"/>
      <c r="AI2" s="1489"/>
      <c r="AJ2" s="1489"/>
      <c r="AK2" s="1489"/>
      <c r="AL2" s="1489"/>
    </row>
    <row r="3" spans="1:55" ht="15.75" customHeight="1" thickBot="1" x14ac:dyDescent="0.25">
      <c r="A3" s="274"/>
      <c r="B3" s="279"/>
      <c r="C3" s="280" t="s">
        <v>237</v>
      </c>
      <c r="D3" s="280"/>
      <c r="E3" s="280"/>
      <c r="F3" s="280"/>
      <c r="G3" s="280"/>
      <c r="H3" s="280"/>
      <c r="I3" s="280"/>
      <c r="J3" s="281"/>
      <c r="K3" s="280"/>
      <c r="L3" s="281"/>
      <c r="M3" s="281"/>
      <c r="N3" s="281"/>
      <c r="O3" s="281"/>
      <c r="P3" s="281"/>
      <c r="Q3" s="281"/>
      <c r="R3" s="281"/>
      <c r="S3" s="281"/>
      <c r="T3" s="281"/>
      <c r="U3" s="281"/>
      <c r="V3" s="281"/>
      <c r="W3" s="281"/>
      <c r="X3" s="281"/>
      <c r="Y3" s="281"/>
      <c r="Z3" s="281"/>
      <c r="AC3" s="280" t="s">
        <v>237</v>
      </c>
      <c r="AD3" s="280"/>
      <c r="AE3" s="280"/>
      <c r="AF3" s="280"/>
      <c r="AG3" s="280"/>
      <c r="AH3" s="280"/>
      <c r="AI3" s="280"/>
      <c r="AJ3" s="281"/>
      <c r="AK3" s="280"/>
      <c r="AL3" s="281"/>
      <c r="AM3" s="281"/>
      <c r="AN3" s="281"/>
      <c r="AO3" s="281"/>
      <c r="AP3" s="281"/>
      <c r="AQ3" s="281"/>
      <c r="AR3" s="281"/>
      <c r="AS3" s="281"/>
      <c r="AT3" s="281"/>
      <c r="AU3" s="281"/>
      <c r="AV3" s="281"/>
      <c r="AW3" s="281"/>
      <c r="AX3" s="281"/>
      <c r="AY3" s="281"/>
      <c r="AZ3" s="281"/>
    </row>
    <row r="4" spans="1:55" ht="37.5" customHeight="1" thickTop="1" x14ac:dyDescent="0.2">
      <c r="A4" s="23" t="s">
        <v>130</v>
      </c>
      <c r="B4" s="24" t="s">
        <v>57</v>
      </c>
      <c r="C4" s="435" t="s">
        <v>62</v>
      </c>
      <c r="D4" s="436"/>
      <c r="E4" s="1531" t="s">
        <v>1169</v>
      </c>
      <c r="F4" s="1532"/>
      <c r="G4" s="1531" t="s">
        <v>1170</v>
      </c>
      <c r="H4" s="1532"/>
      <c r="I4" s="1529" t="s">
        <v>372</v>
      </c>
      <c r="J4" s="1519"/>
      <c r="K4" s="1529" t="s">
        <v>350</v>
      </c>
      <c r="L4" s="1519"/>
      <c r="M4" s="1530" t="s">
        <v>349</v>
      </c>
      <c r="N4" s="1519"/>
      <c r="O4" s="1529" t="s">
        <v>348</v>
      </c>
      <c r="P4" s="1519"/>
      <c r="Q4" s="1529" t="s">
        <v>324</v>
      </c>
      <c r="R4" s="1519"/>
      <c r="S4" s="1529" t="s">
        <v>171</v>
      </c>
      <c r="T4" s="1519"/>
      <c r="U4" s="1529" t="s">
        <v>55</v>
      </c>
      <c r="V4" s="1519"/>
      <c r="W4" s="1530" t="s">
        <v>1056</v>
      </c>
      <c r="X4" s="1519"/>
      <c r="Y4" s="358" t="s">
        <v>60</v>
      </c>
      <c r="Z4" s="357"/>
      <c r="AC4" s="435" t="s">
        <v>62</v>
      </c>
      <c r="AD4" s="436"/>
      <c r="AE4" s="1531" t="s">
        <v>1169</v>
      </c>
      <c r="AF4" s="1532"/>
      <c r="AG4" s="1531" t="s">
        <v>1170</v>
      </c>
      <c r="AH4" s="1532"/>
      <c r="AI4" s="1529" t="s">
        <v>372</v>
      </c>
      <c r="AJ4" s="1519"/>
      <c r="AK4" s="1529" t="s">
        <v>350</v>
      </c>
      <c r="AL4" s="1519"/>
      <c r="AM4" s="1530" t="s">
        <v>349</v>
      </c>
      <c r="AN4" s="1519"/>
      <c r="AO4" s="1529" t="s">
        <v>348</v>
      </c>
      <c r="AP4" s="1519"/>
      <c r="AQ4" s="1529" t="s">
        <v>324</v>
      </c>
      <c r="AR4" s="1519"/>
      <c r="AS4" s="1529" t="s">
        <v>171</v>
      </c>
      <c r="AT4" s="1519"/>
      <c r="AU4" s="1529" t="s">
        <v>55</v>
      </c>
      <c r="AV4" s="1519"/>
      <c r="AW4" s="1530" t="s">
        <v>1055</v>
      </c>
      <c r="AX4" s="1519"/>
      <c r="AY4" s="358" t="s">
        <v>60</v>
      </c>
      <c r="AZ4" s="357"/>
    </row>
    <row r="5" spans="1:55" ht="12" thickBot="1" x14ac:dyDescent="0.25">
      <c r="A5" s="715" t="s">
        <v>593</v>
      </c>
      <c r="B5" s="24"/>
      <c r="C5" s="1535" t="s">
        <v>274</v>
      </c>
      <c r="D5" s="1536"/>
      <c r="E5" s="1535" t="s">
        <v>1167</v>
      </c>
      <c r="F5" s="1536"/>
      <c r="G5" s="1535" t="s">
        <v>1168</v>
      </c>
      <c r="H5" s="1536"/>
      <c r="I5" s="1535" t="s">
        <v>371</v>
      </c>
      <c r="J5" s="1536"/>
      <c r="K5" s="1535" t="s">
        <v>351</v>
      </c>
      <c r="L5" s="1536"/>
      <c r="M5" s="1535" t="s">
        <v>352</v>
      </c>
      <c r="N5" s="1536"/>
      <c r="O5" s="1533" t="s">
        <v>353</v>
      </c>
      <c r="P5" s="1534"/>
      <c r="Q5" s="1533" t="s">
        <v>275</v>
      </c>
      <c r="R5" s="1534"/>
      <c r="S5" s="1533" t="s">
        <v>276</v>
      </c>
      <c r="T5" s="1534"/>
      <c r="U5" s="1533" t="s">
        <v>298</v>
      </c>
      <c r="V5" s="1534"/>
      <c r="W5" s="1533" t="s">
        <v>1054</v>
      </c>
      <c r="X5" s="1534"/>
      <c r="Y5" s="359"/>
      <c r="Z5" s="422"/>
      <c r="AC5" s="1535" t="s">
        <v>274</v>
      </c>
      <c r="AD5" s="1536"/>
      <c r="AE5" s="1535" t="s">
        <v>1167</v>
      </c>
      <c r="AF5" s="1536"/>
      <c r="AG5" s="1535" t="s">
        <v>1168</v>
      </c>
      <c r="AH5" s="1536"/>
      <c r="AI5" s="1535" t="s">
        <v>371</v>
      </c>
      <c r="AJ5" s="1536"/>
      <c r="AK5" s="1535" t="s">
        <v>351</v>
      </c>
      <c r="AL5" s="1536"/>
      <c r="AM5" s="1535" t="s">
        <v>352</v>
      </c>
      <c r="AN5" s="1536"/>
      <c r="AO5" s="1533" t="s">
        <v>353</v>
      </c>
      <c r="AP5" s="1534"/>
      <c r="AQ5" s="1533" t="s">
        <v>275</v>
      </c>
      <c r="AR5" s="1534"/>
      <c r="AS5" s="1533" t="s">
        <v>276</v>
      </c>
      <c r="AT5" s="1534"/>
      <c r="AU5" s="1533" t="s">
        <v>298</v>
      </c>
      <c r="AV5" s="1534"/>
      <c r="AW5" s="1533" t="s">
        <v>1054</v>
      </c>
      <c r="AX5" s="1534"/>
      <c r="AY5" s="359"/>
      <c r="AZ5" s="422"/>
    </row>
    <row r="6" spans="1:55" ht="12" customHeight="1" thickTop="1" x14ac:dyDescent="0.2">
      <c r="A6" s="23"/>
      <c r="B6" s="24"/>
      <c r="C6" s="253" t="s">
        <v>58</v>
      </c>
      <c r="D6" s="360" t="s">
        <v>59</v>
      </c>
      <c r="E6" s="253" t="s">
        <v>58</v>
      </c>
      <c r="F6" s="360" t="s">
        <v>59</v>
      </c>
      <c r="G6" s="253" t="s">
        <v>58</v>
      </c>
      <c r="H6" s="360" t="s">
        <v>59</v>
      </c>
      <c r="I6" s="253" t="s">
        <v>58</v>
      </c>
      <c r="J6" s="360" t="s">
        <v>59</v>
      </c>
      <c r="K6" s="253" t="s">
        <v>58</v>
      </c>
      <c r="L6" s="360" t="s">
        <v>59</v>
      </c>
      <c r="M6" s="253" t="s">
        <v>58</v>
      </c>
      <c r="N6" s="360" t="s">
        <v>59</v>
      </c>
      <c r="O6" s="253" t="s">
        <v>58</v>
      </c>
      <c r="P6" s="360" t="s">
        <v>59</v>
      </c>
      <c r="Q6" s="253" t="s">
        <v>58</v>
      </c>
      <c r="R6" s="528" t="s">
        <v>59</v>
      </c>
      <c r="S6" s="253" t="s">
        <v>58</v>
      </c>
      <c r="T6" s="528" t="s">
        <v>59</v>
      </c>
      <c r="U6" s="253" t="s">
        <v>58</v>
      </c>
      <c r="V6" s="524" t="s">
        <v>59</v>
      </c>
      <c r="W6" s="253" t="s">
        <v>58</v>
      </c>
      <c r="X6" s="524" t="s">
        <v>59</v>
      </c>
      <c r="Y6" s="253" t="s">
        <v>58</v>
      </c>
      <c r="Z6" s="360" t="s">
        <v>59</v>
      </c>
      <c r="AC6" s="253" t="s">
        <v>58</v>
      </c>
      <c r="AD6" s="360" t="s">
        <v>59</v>
      </c>
      <c r="AE6" s="253" t="s">
        <v>58</v>
      </c>
      <c r="AF6" s="360" t="s">
        <v>59</v>
      </c>
      <c r="AG6" s="253" t="s">
        <v>58</v>
      </c>
      <c r="AH6" s="360" t="s">
        <v>59</v>
      </c>
      <c r="AI6" s="253" t="s">
        <v>58</v>
      </c>
      <c r="AJ6" s="360" t="s">
        <v>59</v>
      </c>
      <c r="AK6" s="253" t="s">
        <v>58</v>
      </c>
      <c r="AL6" s="360" t="s">
        <v>59</v>
      </c>
      <c r="AM6" s="253" t="s">
        <v>58</v>
      </c>
      <c r="AN6" s="360" t="s">
        <v>59</v>
      </c>
      <c r="AO6" s="253" t="s">
        <v>58</v>
      </c>
      <c r="AP6" s="360" t="s">
        <v>59</v>
      </c>
      <c r="AQ6" s="253" t="s">
        <v>58</v>
      </c>
      <c r="AR6" s="528" t="s">
        <v>59</v>
      </c>
      <c r="AS6" s="253" t="s">
        <v>58</v>
      </c>
      <c r="AT6" s="528" t="s">
        <v>59</v>
      </c>
      <c r="AU6" s="253" t="s">
        <v>58</v>
      </c>
      <c r="AV6" s="524" t="s">
        <v>59</v>
      </c>
      <c r="AW6" s="253" t="s">
        <v>58</v>
      </c>
      <c r="AX6" s="524" t="s">
        <v>59</v>
      </c>
      <c r="AY6" s="253" t="s">
        <v>58</v>
      </c>
      <c r="AZ6" s="360" t="s">
        <v>59</v>
      </c>
    </row>
    <row r="7" spans="1:55" s="266" customFormat="1" ht="9" thickBot="1" x14ac:dyDescent="0.2">
      <c r="A7" s="263"/>
      <c r="B7" s="265"/>
      <c r="C7" s="264" t="s">
        <v>63</v>
      </c>
      <c r="D7" s="265" t="s">
        <v>63</v>
      </c>
      <c r="E7" s="264" t="s">
        <v>63</v>
      </c>
      <c r="F7" s="265" t="s">
        <v>63</v>
      </c>
      <c r="G7" s="264" t="s">
        <v>63</v>
      </c>
      <c r="H7" s="265" t="s">
        <v>63</v>
      </c>
      <c r="I7" s="264" t="s">
        <v>63</v>
      </c>
      <c r="J7" s="265" t="s">
        <v>63</v>
      </c>
      <c r="K7" s="264" t="s">
        <v>63</v>
      </c>
      <c r="L7" s="265" t="s">
        <v>63</v>
      </c>
      <c r="M7" s="264" t="s">
        <v>63</v>
      </c>
      <c r="N7" s="265" t="s">
        <v>63</v>
      </c>
      <c r="O7" s="264" t="s">
        <v>63</v>
      </c>
      <c r="P7" s="265" t="s">
        <v>63</v>
      </c>
      <c r="Q7" s="264" t="s">
        <v>63</v>
      </c>
      <c r="R7" s="529" t="s">
        <v>63</v>
      </c>
      <c r="S7" s="264" t="s">
        <v>63</v>
      </c>
      <c r="T7" s="529" t="s">
        <v>63</v>
      </c>
      <c r="U7" s="264" t="s">
        <v>63</v>
      </c>
      <c r="V7" s="529" t="s">
        <v>63</v>
      </c>
      <c r="W7" s="264" t="s">
        <v>63</v>
      </c>
      <c r="X7" s="529" t="s">
        <v>63</v>
      </c>
      <c r="Y7" s="534" t="s">
        <v>63</v>
      </c>
      <c r="Z7" s="471" t="s">
        <v>63</v>
      </c>
      <c r="AC7" s="264" t="s">
        <v>63</v>
      </c>
      <c r="AD7" s="265" t="s">
        <v>63</v>
      </c>
      <c r="AE7" s="264" t="s">
        <v>63</v>
      </c>
      <c r="AF7" s="265" t="s">
        <v>63</v>
      </c>
      <c r="AG7" s="264" t="s">
        <v>63</v>
      </c>
      <c r="AH7" s="265" t="s">
        <v>63</v>
      </c>
      <c r="AI7" s="264" t="s">
        <v>63</v>
      </c>
      <c r="AJ7" s="265" t="s">
        <v>63</v>
      </c>
      <c r="AK7" s="264" t="s">
        <v>63</v>
      </c>
      <c r="AL7" s="265" t="s">
        <v>63</v>
      </c>
      <c r="AM7" s="264" t="s">
        <v>63</v>
      </c>
      <c r="AN7" s="265" t="s">
        <v>63</v>
      </c>
      <c r="AO7" s="264" t="s">
        <v>63</v>
      </c>
      <c r="AP7" s="265" t="s">
        <v>63</v>
      </c>
      <c r="AQ7" s="264" t="s">
        <v>63</v>
      </c>
      <c r="AR7" s="529" t="s">
        <v>63</v>
      </c>
      <c r="AS7" s="264" t="s">
        <v>63</v>
      </c>
      <c r="AT7" s="529" t="s">
        <v>63</v>
      </c>
      <c r="AU7" s="264" t="s">
        <v>63</v>
      </c>
      <c r="AV7" s="529" t="s">
        <v>63</v>
      </c>
      <c r="AW7" s="264" t="s">
        <v>63</v>
      </c>
      <c r="AX7" s="529" t="s">
        <v>63</v>
      </c>
      <c r="AY7" s="534" t="s">
        <v>63</v>
      </c>
      <c r="AZ7" s="471" t="s">
        <v>63</v>
      </c>
    </row>
    <row r="8" spans="1:55" ht="13.15" customHeight="1" thickTop="1" x14ac:dyDescent="0.2">
      <c r="A8" s="17" t="str">
        <f>'t1'!A6</f>
        <v>DIRETTORE GENERALE</v>
      </c>
      <c r="B8" s="208" t="str">
        <f>'t1'!B6</f>
        <v>0D0097</v>
      </c>
      <c r="C8" s="725">
        <f t="shared" ref="C8:C18" si="0">ROUND(AC8,0)</f>
        <v>0</v>
      </c>
      <c r="D8" s="726">
        <f t="shared" ref="D8:D18" si="1">ROUND(AD8,0)</f>
        <v>0</v>
      </c>
      <c r="E8" s="725">
        <f t="shared" ref="E8:E18" si="2">ROUND(AE8,0)</f>
        <v>0</v>
      </c>
      <c r="F8" s="726">
        <f t="shared" ref="F8:F18" si="3">ROUND(AF8,0)</f>
        <v>0</v>
      </c>
      <c r="G8" s="725">
        <f t="shared" ref="G8:G23" si="4">ROUND(AG8,0)</f>
        <v>0</v>
      </c>
      <c r="H8" s="726">
        <f t="shared" ref="H8:H23" si="5">ROUND(AH8,0)</f>
        <v>0</v>
      </c>
      <c r="I8" s="725">
        <f t="shared" ref="I8:I18" si="6">ROUND(AI8,0)</f>
        <v>0</v>
      </c>
      <c r="J8" s="726">
        <f t="shared" ref="J8:J18" si="7">ROUND(AJ8,0)</f>
        <v>0</v>
      </c>
      <c r="K8" s="725">
        <f t="shared" ref="K8:K18" si="8">ROUND(AK8,0)</f>
        <v>0</v>
      </c>
      <c r="L8" s="726">
        <f t="shared" ref="L8:L18" si="9">ROUND(AL8,0)</f>
        <v>0</v>
      </c>
      <c r="M8" s="725">
        <f t="shared" ref="M8:M18" si="10">ROUND(AM8,0)</f>
        <v>0</v>
      </c>
      <c r="N8" s="726">
        <f t="shared" ref="N8:N18" si="11">ROUND(AN8,0)</f>
        <v>0</v>
      </c>
      <c r="O8" s="725">
        <f t="shared" ref="O8:O18" si="12">ROUND(AO8,0)</f>
        <v>0</v>
      </c>
      <c r="P8" s="726">
        <f t="shared" ref="P8:P18" si="13">ROUND(AP8,0)</f>
        <v>0</v>
      </c>
      <c r="Q8" s="727">
        <f t="shared" ref="Q8:Q18" si="14">ROUND(AQ8,0)</f>
        <v>0</v>
      </c>
      <c r="R8" s="728">
        <f t="shared" ref="R8:R18" si="15">ROUND(AR8,0)</f>
        <v>0</v>
      </c>
      <c r="S8" s="727">
        <f t="shared" ref="S8:S18" si="16">ROUND(AS8,0)</f>
        <v>0</v>
      </c>
      <c r="T8" s="728">
        <f t="shared" ref="T8:T18" si="17">ROUND(AT8,0)</f>
        <v>0</v>
      </c>
      <c r="U8" s="727">
        <f t="shared" ref="U8:U18" si="18">ROUND(AU8,0)</f>
        <v>0</v>
      </c>
      <c r="V8" s="728">
        <f t="shared" ref="V8:V18" si="19">ROUND(AV8,0)</f>
        <v>0</v>
      </c>
      <c r="W8" s="727">
        <f t="shared" ref="W8:W18" si="20">ROUND(AW8,0)</f>
        <v>0</v>
      </c>
      <c r="X8" s="729">
        <f t="shared" ref="X8:Z18" si="21">ROUND(AX8,0)</f>
        <v>0</v>
      </c>
      <c r="Y8" s="535">
        <f t="shared" si="21"/>
        <v>0</v>
      </c>
      <c r="Z8" s="536">
        <f t="shared" si="21"/>
        <v>0</v>
      </c>
      <c r="AA8" s="713">
        <f>'t1'!M6</f>
        <v>0</v>
      </c>
      <c r="AC8" s="249"/>
      <c r="AD8" s="250"/>
      <c r="AE8" s="249"/>
      <c r="AF8" s="250"/>
      <c r="AG8" s="249"/>
      <c r="AH8" s="250"/>
      <c r="AI8" s="249"/>
      <c r="AJ8" s="250"/>
      <c r="AK8" s="249"/>
      <c r="AL8" s="250"/>
      <c r="AM8" s="249"/>
      <c r="AN8" s="250"/>
      <c r="AO8" s="249"/>
      <c r="AP8" s="250"/>
      <c r="AQ8" s="533"/>
      <c r="AR8" s="530"/>
      <c r="AS8" s="533"/>
      <c r="AT8" s="530"/>
      <c r="AU8" s="533"/>
      <c r="AV8" s="530"/>
      <c r="AW8" s="533"/>
      <c r="AX8" s="525"/>
      <c r="AY8" s="535">
        <f>SUM(AC8,AE8,AG8,AI8,AK8,AM8,AO8,AQ8,AS8,AU8,AW8)</f>
        <v>0</v>
      </c>
      <c r="AZ8" s="536">
        <f>SUM(AD8,AF8,AH8,AJ8,AL8,AN8,AP8,AR8,AT8,AV8,AX8)</f>
        <v>0</v>
      </c>
      <c r="BA8" s="713">
        <f>'t1'!AQ6</f>
        <v>0</v>
      </c>
    </row>
    <row r="9" spans="1:55" ht="13.15" customHeight="1" x14ac:dyDescent="0.2">
      <c r="A9" s="135" t="str">
        <f>'t1'!A7</f>
        <v>DIRIGENTE I FASCIA</v>
      </c>
      <c r="B9" s="201" t="str">
        <f>'t1'!B7</f>
        <v>0D0077</v>
      </c>
      <c r="C9" s="730">
        <f t="shared" si="0"/>
        <v>0</v>
      </c>
      <c r="D9" s="731">
        <f t="shared" si="1"/>
        <v>0</v>
      </c>
      <c r="E9" s="730">
        <f t="shared" si="2"/>
        <v>0</v>
      </c>
      <c r="F9" s="731">
        <f t="shared" si="3"/>
        <v>0</v>
      </c>
      <c r="G9" s="730">
        <f t="shared" si="4"/>
        <v>0</v>
      </c>
      <c r="H9" s="731">
        <f t="shared" si="5"/>
        <v>0</v>
      </c>
      <c r="I9" s="730">
        <f t="shared" si="6"/>
        <v>0</v>
      </c>
      <c r="J9" s="731">
        <f t="shared" si="7"/>
        <v>0</v>
      </c>
      <c r="K9" s="730">
        <f t="shared" si="8"/>
        <v>0</v>
      </c>
      <c r="L9" s="731">
        <f t="shared" si="9"/>
        <v>0</v>
      </c>
      <c r="M9" s="730">
        <f t="shared" si="10"/>
        <v>0</v>
      </c>
      <c r="N9" s="731">
        <f t="shared" si="11"/>
        <v>0</v>
      </c>
      <c r="O9" s="730">
        <f t="shared" si="12"/>
        <v>0</v>
      </c>
      <c r="P9" s="731">
        <f t="shared" si="13"/>
        <v>0</v>
      </c>
      <c r="Q9" s="730">
        <f t="shared" si="14"/>
        <v>0</v>
      </c>
      <c r="R9" s="732">
        <f t="shared" si="15"/>
        <v>0</v>
      </c>
      <c r="S9" s="730">
        <f t="shared" si="16"/>
        <v>0</v>
      </c>
      <c r="T9" s="732">
        <f t="shared" si="17"/>
        <v>0</v>
      </c>
      <c r="U9" s="730">
        <f t="shared" si="18"/>
        <v>0</v>
      </c>
      <c r="V9" s="732">
        <f t="shared" si="19"/>
        <v>0</v>
      </c>
      <c r="W9" s="730">
        <f t="shared" si="20"/>
        <v>0</v>
      </c>
      <c r="X9" s="733">
        <f t="shared" si="21"/>
        <v>0</v>
      </c>
      <c r="Y9" s="470">
        <f t="shared" si="21"/>
        <v>0</v>
      </c>
      <c r="Z9" s="472">
        <f t="shared" si="21"/>
        <v>0</v>
      </c>
      <c r="AA9" s="713">
        <f>'t1'!M7</f>
        <v>0</v>
      </c>
      <c r="AC9" s="251"/>
      <c r="AD9" s="252"/>
      <c r="AE9" s="251"/>
      <c r="AF9" s="252"/>
      <c r="AG9" s="251"/>
      <c r="AH9" s="252"/>
      <c r="AI9" s="251"/>
      <c r="AJ9" s="252"/>
      <c r="AK9" s="251"/>
      <c r="AL9" s="252"/>
      <c r="AM9" s="251"/>
      <c r="AN9" s="252"/>
      <c r="AO9" s="251"/>
      <c r="AP9" s="252"/>
      <c r="AQ9" s="251"/>
      <c r="AR9" s="531"/>
      <c r="AS9" s="251"/>
      <c r="AT9" s="531"/>
      <c r="AU9" s="251"/>
      <c r="AV9" s="531"/>
      <c r="AW9" s="251"/>
      <c r="AX9" s="526"/>
      <c r="AY9" s="470">
        <f t="shared" ref="AY9:AY23" si="22">SUM(AC9,AE9,AG9,AI9,AK9,AM9,AO9,AQ9,AS9,AU9,AW9)</f>
        <v>0</v>
      </c>
      <c r="AZ9" s="472">
        <f t="shared" ref="AZ9:AZ23" si="23">SUM(AD9,AF9,AH9,AJ9,AL9,AN9,AP9,AR9,AT9,AV9,AX9)</f>
        <v>0</v>
      </c>
      <c r="BA9" s="713">
        <f>'t1'!AQ7</f>
        <v>0</v>
      </c>
    </row>
    <row r="10" spans="1:55" ht="13.15" customHeight="1" x14ac:dyDescent="0.2">
      <c r="A10" s="135" t="str">
        <f>'t1'!A8</f>
        <v>DIRIGENTE I FASCIA A TEMPO DETERM.</v>
      </c>
      <c r="B10" s="201" t="str">
        <f>'t1'!B8</f>
        <v>0D0078</v>
      </c>
      <c r="C10" s="730">
        <f t="shared" si="0"/>
        <v>0</v>
      </c>
      <c r="D10" s="731">
        <f t="shared" si="1"/>
        <v>0</v>
      </c>
      <c r="E10" s="730">
        <f t="shared" si="2"/>
        <v>0</v>
      </c>
      <c r="F10" s="731">
        <f t="shared" si="3"/>
        <v>0</v>
      </c>
      <c r="G10" s="730">
        <f t="shared" si="4"/>
        <v>0</v>
      </c>
      <c r="H10" s="731">
        <f t="shared" si="5"/>
        <v>0</v>
      </c>
      <c r="I10" s="730">
        <f t="shared" si="6"/>
        <v>0</v>
      </c>
      <c r="J10" s="731">
        <f t="shared" si="7"/>
        <v>0</v>
      </c>
      <c r="K10" s="730">
        <f t="shared" si="8"/>
        <v>0</v>
      </c>
      <c r="L10" s="731">
        <f t="shared" si="9"/>
        <v>0</v>
      </c>
      <c r="M10" s="730">
        <f t="shared" si="10"/>
        <v>0</v>
      </c>
      <c r="N10" s="731">
        <f t="shared" si="11"/>
        <v>0</v>
      </c>
      <c r="O10" s="730">
        <f t="shared" si="12"/>
        <v>0</v>
      </c>
      <c r="P10" s="731">
        <f t="shared" si="13"/>
        <v>0</v>
      </c>
      <c r="Q10" s="730">
        <f t="shared" si="14"/>
        <v>0</v>
      </c>
      <c r="R10" s="732">
        <f t="shared" si="15"/>
        <v>0</v>
      </c>
      <c r="S10" s="730">
        <f t="shared" si="16"/>
        <v>0</v>
      </c>
      <c r="T10" s="732">
        <f t="shared" si="17"/>
        <v>0</v>
      </c>
      <c r="U10" s="730">
        <f t="shared" si="18"/>
        <v>0</v>
      </c>
      <c r="V10" s="732">
        <f t="shared" si="19"/>
        <v>0</v>
      </c>
      <c r="W10" s="730">
        <f t="shared" si="20"/>
        <v>0</v>
      </c>
      <c r="X10" s="733">
        <f t="shared" si="21"/>
        <v>0</v>
      </c>
      <c r="Y10" s="470">
        <f t="shared" si="21"/>
        <v>0</v>
      </c>
      <c r="Z10" s="472">
        <f t="shared" si="21"/>
        <v>0</v>
      </c>
      <c r="AA10" s="713">
        <f>'t1'!M8</f>
        <v>0</v>
      </c>
      <c r="AC10" s="251"/>
      <c r="AD10" s="252"/>
      <c r="AE10" s="251"/>
      <c r="AF10" s="252"/>
      <c r="AG10" s="251"/>
      <c r="AH10" s="252"/>
      <c r="AI10" s="251"/>
      <c r="AJ10" s="252"/>
      <c r="AK10" s="251"/>
      <c r="AL10" s="252"/>
      <c r="AM10" s="251"/>
      <c r="AN10" s="252"/>
      <c r="AO10" s="251"/>
      <c r="AP10" s="252"/>
      <c r="AQ10" s="251"/>
      <c r="AR10" s="531"/>
      <c r="AS10" s="251"/>
      <c r="AT10" s="531"/>
      <c r="AU10" s="251"/>
      <c r="AV10" s="531"/>
      <c r="AW10" s="251"/>
      <c r="AX10" s="526"/>
      <c r="AY10" s="470">
        <f t="shared" si="22"/>
        <v>0</v>
      </c>
      <c r="AZ10" s="472">
        <f t="shared" si="23"/>
        <v>0</v>
      </c>
      <c r="BA10" s="713">
        <f>'t1'!AQ8</f>
        <v>0</v>
      </c>
    </row>
    <row r="11" spans="1:55" ht="13.15" customHeight="1" x14ac:dyDescent="0.2">
      <c r="A11" s="135" t="str">
        <f>'t1'!A9</f>
        <v>DIRIGENTE II FASCIA</v>
      </c>
      <c r="B11" s="201" t="str">
        <f>'t1'!B9</f>
        <v>0D0079</v>
      </c>
      <c r="C11" s="730">
        <f t="shared" si="0"/>
        <v>0</v>
      </c>
      <c r="D11" s="731">
        <f t="shared" si="1"/>
        <v>0</v>
      </c>
      <c r="E11" s="730">
        <f t="shared" si="2"/>
        <v>0</v>
      </c>
      <c r="F11" s="731">
        <f t="shared" si="3"/>
        <v>0</v>
      </c>
      <c r="G11" s="730">
        <f t="shared" si="4"/>
        <v>0</v>
      </c>
      <c r="H11" s="731">
        <f t="shared" si="5"/>
        <v>0</v>
      </c>
      <c r="I11" s="730">
        <f t="shared" si="6"/>
        <v>0</v>
      </c>
      <c r="J11" s="731">
        <f t="shared" si="7"/>
        <v>0</v>
      </c>
      <c r="K11" s="730">
        <f t="shared" si="8"/>
        <v>0</v>
      </c>
      <c r="L11" s="731">
        <f t="shared" si="9"/>
        <v>0</v>
      </c>
      <c r="M11" s="730">
        <f t="shared" si="10"/>
        <v>0</v>
      </c>
      <c r="N11" s="731">
        <f t="shared" si="11"/>
        <v>0</v>
      </c>
      <c r="O11" s="730">
        <f t="shared" si="12"/>
        <v>0</v>
      </c>
      <c r="P11" s="731">
        <f t="shared" si="13"/>
        <v>0</v>
      </c>
      <c r="Q11" s="730">
        <f t="shared" si="14"/>
        <v>0</v>
      </c>
      <c r="R11" s="732">
        <f t="shared" si="15"/>
        <v>0</v>
      </c>
      <c r="S11" s="730">
        <f t="shared" si="16"/>
        <v>0</v>
      </c>
      <c r="T11" s="732">
        <f t="shared" si="17"/>
        <v>0</v>
      </c>
      <c r="U11" s="730">
        <f t="shared" si="18"/>
        <v>0</v>
      </c>
      <c r="V11" s="732">
        <f t="shared" si="19"/>
        <v>0</v>
      </c>
      <c r="W11" s="730">
        <f t="shared" si="20"/>
        <v>0</v>
      </c>
      <c r="X11" s="733">
        <f t="shared" si="21"/>
        <v>0</v>
      </c>
      <c r="Y11" s="470">
        <f t="shared" si="21"/>
        <v>0</v>
      </c>
      <c r="Z11" s="472">
        <f t="shared" si="21"/>
        <v>0</v>
      </c>
      <c r="AA11" s="713">
        <f>'t1'!M9</f>
        <v>0</v>
      </c>
      <c r="AC11" s="251"/>
      <c r="AD11" s="252"/>
      <c r="AE11" s="251"/>
      <c r="AF11" s="252"/>
      <c r="AG11" s="251"/>
      <c r="AH11" s="252"/>
      <c r="AI11" s="251"/>
      <c r="AJ11" s="252"/>
      <c r="AK11" s="251"/>
      <c r="AL11" s="252"/>
      <c r="AM11" s="251"/>
      <c r="AN11" s="252"/>
      <c r="AO11" s="251"/>
      <c r="AP11" s="252"/>
      <c r="AQ11" s="251"/>
      <c r="AR11" s="531"/>
      <c r="AS11" s="251"/>
      <c r="AT11" s="531"/>
      <c r="AU11" s="251"/>
      <c r="AV11" s="531"/>
      <c r="AW11" s="251"/>
      <c r="AX11" s="526"/>
      <c r="AY11" s="470">
        <f t="shared" si="22"/>
        <v>0</v>
      </c>
      <c r="AZ11" s="472">
        <f t="shared" si="23"/>
        <v>0</v>
      </c>
      <c r="BA11" s="713">
        <f>'t1'!AQ9</f>
        <v>0</v>
      </c>
    </row>
    <row r="12" spans="1:55" ht="13.15" customHeight="1" x14ac:dyDescent="0.2">
      <c r="A12" s="135" t="str">
        <f>'t1'!A10</f>
        <v>DIRIGENTE II FASCIA A TEMPO DETERM.</v>
      </c>
      <c r="B12" s="201" t="str">
        <f>'t1'!B10</f>
        <v>0D0080</v>
      </c>
      <c r="C12" s="730">
        <f t="shared" si="0"/>
        <v>0</v>
      </c>
      <c r="D12" s="731">
        <f t="shared" si="1"/>
        <v>0</v>
      </c>
      <c r="E12" s="730">
        <f t="shared" si="2"/>
        <v>0</v>
      </c>
      <c r="F12" s="731">
        <f t="shared" si="3"/>
        <v>0</v>
      </c>
      <c r="G12" s="730">
        <f t="shared" si="4"/>
        <v>0</v>
      </c>
      <c r="H12" s="731">
        <f t="shared" si="5"/>
        <v>0</v>
      </c>
      <c r="I12" s="730">
        <f t="shared" si="6"/>
        <v>0</v>
      </c>
      <c r="J12" s="731">
        <f t="shared" si="7"/>
        <v>0</v>
      </c>
      <c r="K12" s="730">
        <f t="shared" si="8"/>
        <v>0</v>
      </c>
      <c r="L12" s="731">
        <f t="shared" si="9"/>
        <v>0</v>
      </c>
      <c r="M12" s="730">
        <f t="shared" si="10"/>
        <v>0</v>
      </c>
      <c r="N12" s="731">
        <f t="shared" si="11"/>
        <v>0</v>
      </c>
      <c r="O12" s="730">
        <f t="shared" si="12"/>
        <v>0</v>
      </c>
      <c r="P12" s="731">
        <f t="shared" si="13"/>
        <v>0</v>
      </c>
      <c r="Q12" s="730">
        <f t="shared" si="14"/>
        <v>0</v>
      </c>
      <c r="R12" s="732">
        <f t="shared" si="15"/>
        <v>0</v>
      </c>
      <c r="S12" s="730">
        <f t="shared" si="16"/>
        <v>0</v>
      </c>
      <c r="T12" s="732">
        <f t="shared" si="17"/>
        <v>0</v>
      </c>
      <c r="U12" s="730">
        <f t="shared" si="18"/>
        <v>0</v>
      </c>
      <c r="V12" s="732">
        <f t="shared" si="19"/>
        <v>0</v>
      </c>
      <c r="W12" s="730">
        <f t="shared" si="20"/>
        <v>0</v>
      </c>
      <c r="X12" s="733">
        <f t="shared" si="21"/>
        <v>0</v>
      </c>
      <c r="Y12" s="470">
        <f t="shared" si="21"/>
        <v>0</v>
      </c>
      <c r="Z12" s="472">
        <f t="shared" si="21"/>
        <v>0</v>
      </c>
      <c r="AA12" s="713">
        <f>'t1'!M10</f>
        <v>0</v>
      </c>
      <c r="AC12" s="251"/>
      <c r="AD12" s="252"/>
      <c r="AE12" s="251"/>
      <c r="AF12" s="252"/>
      <c r="AG12" s="251"/>
      <c r="AH12" s="252"/>
      <c r="AI12" s="251"/>
      <c r="AJ12" s="252"/>
      <c r="AK12" s="251"/>
      <c r="AL12" s="252"/>
      <c r="AM12" s="251"/>
      <c r="AN12" s="252"/>
      <c r="AO12" s="251"/>
      <c r="AP12" s="252"/>
      <c r="AQ12" s="251"/>
      <c r="AR12" s="531"/>
      <c r="AS12" s="251"/>
      <c r="AT12" s="531"/>
      <c r="AU12" s="251"/>
      <c r="AV12" s="531"/>
      <c r="AW12" s="251"/>
      <c r="AX12" s="526"/>
      <c r="AY12" s="470">
        <f t="shared" si="22"/>
        <v>0</v>
      </c>
      <c r="AZ12" s="472">
        <f t="shared" si="23"/>
        <v>0</v>
      </c>
      <c r="BA12" s="713">
        <f>'t1'!AQ10</f>
        <v>0</v>
      </c>
    </row>
    <row r="13" spans="1:55" ht="13.15" customHeight="1" x14ac:dyDescent="0.2">
      <c r="A13" s="135" t="str">
        <f>'t1'!A11</f>
        <v>MEDICO II FASCIA T.P.</v>
      </c>
      <c r="B13" s="201" t="str">
        <f>'t1'!B11</f>
        <v>0D0584</v>
      </c>
      <c r="C13" s="730">
        <f t="shared" si="0"/>
        <v>0</v>
      </c>
      <c r="D13" s="731">
        <f t="shared" si="1"/>
        <v>0</v>
      </c>
      <c r="E13" s="730">
        <f t="shared" si="2"/>
        <v>0</v>
      </c>
      <c r="F13" s="731">
        <f t="shared" si="3"/>
        <v>0</v>
      </c>
      <c r="G13" s="730">
        <f t="shared" si="4"/>
        <v>0</v>
      </c>
      <c r="H13" s="731">
        <f t="shared" si="5"/>
        <v>0</v>
      </c>
      <c r="I13" s="730">
        <f t="shared" si="6"/>
        <v>0</v>
      </c>
      <c r="J13" s="731">
        <f t="shared" si="7"/>
        <v>0</v>
      </c>
      <c r="K13" s="730">
        <f t="shared" si="8"/>
        <v>0</v>
      </c>
      <c r="L13" s="731">
        <f t="shared" si="9"/>
        <v>0</v>
      </c>
      <c r="M13" s="730">
        <f t="shared" si="10"/>
        <v>0</v>
      </c>
      <c r="N13" s="731">
        <f t="shared" si="11"/>
        <v>0</v>
      </c>
      <c r="O13" s="730">
        <f t="shared" si="12"/>
        <v>0</v>
      </c>
      <c r="P13" s="731">
        <f t="shared" si="13"/>
        <v>0</v>
      </c>
      <c r="Q13" s="730">
        <f t="shared" si="14"/>
        <v>0</v>
      </c>
      <c r="R13" s="732">
        <f t="shared" si="15"/>
        <v>0</v>
      </c>
      <c r="S13" s="730">
        <f t="shared" si="16"/>
        <v>0</v>
      </c>
      <c r="T13" s="732">
        <f t="shared" si="17"/>
        <v>0</v>
      </c>
      <c r="U13" s="730">
        <f t="shared" si="18"/>
        <v>0</v>
      </c>
      <c r="V13" s="732">
        <f t="shared" si="19"/>
        <v>0</v>
      </c>
      <c r="W13" s="730">
        <f t="shared" si="20"/>
        <v>0</v>
      </c>
      <c r="X13" s="733">
        <f t="shared" si="21"/>
        <v>0</v>
      </c>
      <c r="Y13" s="470">
        <f t="shared" si="21"/>
        <v>0</v>
      </c>
      <c r="Z13" s="472">
        <f t="shared" si="21"/>
        <v>0</v>
      </c>
      <c r="AA13" s="713">
        <f>'t1'!M11</f>
        <v>0</v>
      </c>
      <c r="AC13" s="251"/>
      <c r="AD13" s="252"/>
      <c r="AE13" s="251"/>
      <c r="AF13" s="252"/>
      <c r="AG13" s="251"/>
      <c r="AH13" s="252"/>
      <c r="AI13" s="251"/>
      <c r="AJ13" s="252"/>
      <c r="AK13" s="251"/>
      <c r="AL13" s="252"/>
      <c r="AM13" s="251"/>
      <c r="AN13" s="252"/>
      <c r="AO13" s="251"/>
      <c r="AP13" s="252"/>
      <c r="AQ13" s="251"/>
      <c r="AR13" s="531"/>
      <c r="AS13" s="251"/>
      <c r="AT13" s="531"/>
      <c r="AU13" s="251"/>
      <c r="AV13" s="531"/>
      <c r="AW13" s="251"/>
      <c r="AX13" s="526"/>
      <c r="AY13" s="470">
        <f t="shared" si="22"/>
        <v>0</v>
      </c>
      <c r="AZ13" s="472">
        <f t="shared" si="23"/>
        <v>0</v>
      </c>
      <c r="BA13" s="713">
        <f>'t1'!AQ11</f>
        <v>0</v>
      </c>
    </row>
    <row r="14" spans="1:55" ht="13.15" customHeight="1" x14ac:dyDescent="0.2">
      <c r="A14" s="135" t="str">
        <f>'t1'!A12</f>
        <v>MEDICO I FASCIA T.P.</v>
      </c>
      <c r="B14" s="201" t="str">
        <f>'t1'!B12</f>
        <v>0D0585</v>
      </c>
      <c r="C14" s="730">
        <f t="shared" si="0"/>
        <v>0</v>
      </c>
      <c r="D14" s="731">
        <f t="shared" si="1"/>
        <v>0</v>
      </c>
      <c r="E14" s="730">
        <f t="shared" si="2"/>
        <v>0</v>
      </c>
      <c r="F14" s="731">
        <f t="shared" si="3"/>
        <v>0</v>
      </c>
      <c r="G14" s="730">
        <f t="shared" si="4"/>
        <v>0</v>
      </c>
      <c r="H14" s="731">
        <f t="shared" si="5"/>
        <v>0</v>
      </c>
      <c r="I14" s="730">
        <f t="shared" si="6"/>
        <v>0</v>
      </c>
      <c r="J14" s="731">
        <f t="shared" si="7"/>
        <v>0</v>
      </c>
      <c r="K14" s="730">
        <f t="shared" si="8"/>
        <v>0</v>
      </c>
      <c r="L14" s="731">
        <f t="shared" si="9"/>
        <v>0</v>
      </c>
      <c r="M14" s="730">
        <f t="shared" si="10"/>
        <v>0</v>
      </c>
      <c r="N14" s="731">
        <f t="shared" si="11"/>
        <v>0</v>
      </c>
      <c r="O14" s="730">
        <f t="shared" si="12"/>
        <v>0</v>
      </c>
      <c r="P14" s="731">
        <f t="shared" si="13"/>
        <v>0</v>
      </c>
      <c r="Q14" s="730">
        <f t="shared" si="14"/>
        <v>0</v>
      </c>
      <c r="R14" s="732">
        <f t="shared" si="15"/>
        <v>0</v>
      </c>
      <c r="S14" s="730">
        <f t="shared" si="16"/>
        <v>0</v>
      </c>
      <c r="T14" s="732">
        <f t="shared" si="17"/>
        <v>0</v>
      </c>
      <c r="U14" s="730">
        <f t="shared" si="18"/>
        <v>0</v>
      </c>
      <c r="V14" s="732">
        <f t="shared" si="19"/>
        <v>0</v>
      </c>
      <c r="W14" s="730">
        <f t="shared" si="20"/>
        <v>0</v>
      </c>
      <c r="X14" s="733">
        <f t="shared" si="21"/>
        <v>0</v>
      </c>
      <c r="Y14" s="470">
        <f t="shared" si="21"/>
        <v>0</v>
      </c>
      <c r="Z14" s="472">
        <f t="shared" si="21"/>
        <v>0</v>
      </c>
      <c r="AA14" s="713">
        <f>'t1'!M12</f>
        <v>0</v>
      </c>
      <c r="AC14" s="251"/>
      <c r="AD14" s="252"/>
      <c r="AE14" s="251"/>
      <c r="AF14" s="252"/>
      <c r="AG14" s="251"/>
      <c r="AH14" s="252"/>
      <c r="AI14" s="251"/>
      <c r="AJ14" s="252"/>
      <c r="AK14" s="251"/>
      <c r="AL14" s="252"/>
      <c r="AM14" s="251"/>
      <c r="AN14" s="252"/>
      <c r="AO14" s="251"/>
      <c r="AP14" s="252"/>
      <c r="AQ14" s="251"/>
      <c r="AR14" s="531"/>
      <c r="AS14" s="251"/>
      <c r="AT14" s="531"/>
      <c r="AU14" s="251"/>
      <c r="AV14" s="531"/>
      <c r="AW14" s="251"/>
      <c r="AX14" s="526"/>
      <c r="AY14" s="470">
        <f t="shared" si="22"/>
        <v>0</v>
      </c>
      <c r="AZ14" s="472">
        <f t="shared" si="23"/>
        <v>0</v>
      </c>
      <c r="BA14" s="713">
        <f>'t1'!AQ12</f>
        <v>0</v>
      </c>
    </row>
    <row r="15" spans="1:55" ht="13.15" customHeight="1" x14ac:dyDescent="0.2">
      <c r="A15" s="135" t="str">
        <f>'t1'!A13</f>
        <v>MEDICO II FASCIA T.D.</v>
      </c>
      <c r="B15" s="201" t="str">
        <f>'t1'!B13</f>
        <v>0D0586</v>
      </c>
      <c r="C15" s="730">
        <f t="shared" si="0"/>
        <v>0</v>
      </c>
      <c r="D15" s="731">
        <f t="shared" si="1"/>
        <v>0</v>
      </c>
      <c r="E15" s="730">
        <f t="shared" si="2"/>
        <v>0</v>
      </c>
      <c r="F15" s="731">
        <f t="shared" si="3"/>
        <v>0</v>
      </c>
      <c r="G15" s="730">
        <f t="shared" si="4"/>
        <v>0</v>
      </c>
      <c r="H15" s="731">
        <f t="shared" si="5"/>
        <v>0</v>
      </c>
      <c r="I15" s="730">
        <f t="shared" si="6"/>
        <v>0</v>
      </c>
      <c r="J15" s="731">
        <f t="shared" si="7"/>
        <v>0</v>
      </c>
      <c r="K15" s="730">
        <f t="shared" si="8"/>
        <v>0</v>
      </c>
      <c r="L15" s="731">
        <f t="shared" si="9"/>
        <v>0</v>
      </c>
      <c r="M15" s="730">
        <f t="shared" si="10"/>
        <v>0</v>
      </c>
      <c r="N15" s="731">
        <f t="shared" si="11"/>
        <v>0</v>
      </c>
      <c r="O15" s="730">
        <f t="shared" si="12"/>
        <v>0</v>
      </c>
      <c r="P15" s="731">
        <f t="shared" si="13"/>
        <v>0</v>
      </c>
      <c r="Q15" s="730">
        <f t="shared" si="14"/>
        <v>0</v>
      </c>
      <c r="R15" s="732">
        <f t="shared" si="15"/>
        <v>0</v>
      </c>
      <c r="S15" s="730">
        <f t="shared" si="16"/>
        <v>0</v>
      </c>
      <c r="T15" s="732">
        <f t="shared" si="17"/>
        <v>0</v>
      </c>
      <c r="U15" s="730">
        <f t="shared" si="18"/>
        <v>0</v>
      </c>
      <c r="V15" s="732">
        <f t="shared" si="19"/>
        <v>0</v>
      </c>
      <c r="W15" s="730">
        <f t="shared" si="20"/>
        <v>0</v>
      </c>
      <c r="X15" s="733">
        <f t="shared" si="21"/>
        <v>0</v>
      </c>
      <c r="Y15" s="470">
        <f t="shared" si="21"/>
        <v>0</v>
      </c>
      <c r="Z15" s="472">
        <f t="shared" si="21"/>
        <v>0</v>
      </c>
      <c r="AA15" s="713">
        <f>'t1'!M13</f>
        <v>0</v>
      </c>
      <c r="AC15" s="251"/>
      <c r="AD15" s="252"/>
      <c r="AE15" s="251"/>
      <c r="AF15" s="252"/>
      <c r="AG15" s="251"/>
      <c r="AH15" s="252"/>
      <c r="AI15" s="251"/>
      <c r="AJ15" s="252"/>
      <c r="AK15" s="251"/>
      <c r="AL15" s="252"/>
      <c r="AM15" s="251"/>
      <c r="AN15" s="252"/>
      <c r="AO15" s="251"/>
      <c r="AP15" s="252"/>
      <c r="AQ15" s="251"/>
      <c r="AR15" s="531"/>
      <c r="AS15" s="251"/>
      <c r="AT15" s="531"/>
      <c r="AU15" s="251"/>
      <c r="AV15" s="531"/>
      <c r="AW15" s="251"/>
      <c r="AX15" s="526"/>
      <c r="AY15" s="470">
        <f t="shared" si="22"/>
        <v>0</v>
      </c>
      <c r="AZ15" s="472">
        <f t="shared" si="23"/>
        <v>0</v>
      </c>
      <c r="BA15" s="713">
        <f>'t1'!AQ13</f>
        <v>0</v>
      </c>
    </row>
    <row r="16" spans="1:55" ht="13.15" customHeight="1" x14ac:dyDescent="0.2">
      <c r="A16" s="135" t="str">
        <f>'t1'!A14</f>
        <v>MEDICO I FASCIA T.D.</v>
      </c>
      <c r="B16" s="201" t="str">
        <f>'t1'!B14</f>
        <v>0D0496</v>
      </c>
      <c r="C16" s="730">
        <f t="shared" si="0"/>
        <v>0</v>
      </c>
      <c r="D16" s="731">
        <f t="shared" si="1"/>
        <v>0</v>
      </c>
      <c r="E16" s="730">
        <f t="shared" si="2"/>
        <v>0</v>
      </c>
      <c r="F16" s="731">
        <f t="shared" si="3"/>
        <v>0</v>
      </c>
      <c r="G16" s="730">
        <f t="shared" si="4"/>
        <v>0</v>
      </c>
      <c r="H16" s="731">
        <f t="shared" si="5"/>
        <v>0</v>
      </c>
      <c r="I16" s="730">
        <f t="shared" si="6"/>
        <v>0</v>
      </c>
      <c r="J16" s="731">
        <f t="shared" si="7"/>
        <v>0</v>
      </c>
      <c r="K16" s="730">
        <f t="shared" si="8"/>
        <v>0</v>
      </c>
      <c r="L16" s="731">
        <f t="shared" si="9"/>
        <v>0</v>
      </c>
      <c r="M16" s="730">
        <f t="shared" si="10"/>
        <v>0</v>
      </c>
      <c r="N16" s="731">
        <f t="shared" si="11"/>
        <v>0</v>
      </c>
      <c r="O16" s="730">
        <f t="shared" si="12"/>
        <v>0</v>
      </c>
      <c r="P16" s="731">
        <f t="shared" si="13"/>
        <v>0</v>
      </c>
      <c r="Q16" s="730">
        <f t="shared" si="14"/>
        <v>0</v>
      </c>
      <c r="R16" s="732">
        <f t="shared" si="15"/>
        <v>0</v>
      </c>
      <c r="S16" s="730">
        <f t="shared" si="16"/>
        <v>0</v>
      </c>
      <c r="T16" s="732">
        <f t="shared" si="17"/>
        <v>0</v>
      </c>
      <c r="U16" s="730">
        <f t="shared" si="18"/>
        <v>0</v>
      </c>
      <c r="V16" s="732">
        <f t="shared" si="19"/>
        <v>0</v>
      </c>
      <c r="W16" s="730">
        <f t="shared" si="20"/>
        <v>0</v>
      </c>
      <c r="X16" s="733">
        <f t="shared" si="21"/>
        <v>0</v>
      </c>
      <c r="Y16" s="470">
        <f t="shared" si="21"/>
        <v>0</v>
      </c>
      <c r="Z16" s="472">
        <f t="shared" si="21"/>
        <v>0</v>
      </c>
      <c r="AA16" s="713">
        <f>'t1'!M14</f>
        <v>0</v>
      </c>
      <c r="AC16" s="251"/>
      <c r="AD16" s="252"/>
      <c r="AE16" s="251"/>
      <c r="AF16" s="252"/>
      <c r="AG16" s="251"/>
      <c r="AH16" s="252"/>
      <c r="AI16" s="251"/>
      <c r="AJ16" s="252"/>
      <c r="AK16" s="251"/>
      <c r="AL16" s="252"/>
      <c r="AM16" s="251"/>
      <c r="AN16" s="252"/>
      <c r="AO16" s="251"/>
      <c r="AP16" s="252"/>
      <c r="AQ16" s="251"/>
      <c r="AR16" s="531"/>
      <c r="AS16" s="251"/>
      <c r="AT16" s="531"/>
      <c r="AU16" s="251"/>
      <c r="AV16" s="531"/>
      <c r="AW16" s="251"/>
      <c r="AX16" s="526"/>
      <c r="AY16" s="470">
        <f t="shared" si="22"/>
        <v>0</v>
      </c>
      <c r="AZ16" s="472">
        <f t="shared" si="23"/>
        <v>0</v>
      </c>
      <c r="BA16" s="713">
        <f>'t1'!AQ14</f>
        <v>0</v>
      </c>
    </row>
    <row r="17" spans="1:53" ht="13.15" customHeight="1" x14ac:dyDescent="0.2">
      <c r="A17" s="135" t="str">
        <f>'t1'!A15</f>
        <v>PROFESSIONISTI II LIVELLO</v>
      </c>
      <c r="B17" s="201" t="str">
        <f>'t1'!B15</f>
        <v>0D0PR2</v>
      </c>
      <c r="C17" s="730">
        <f t="shared" si="0"/>
        <v>0</v>
      </c>
      <c r="D17" s="731">
        <f t="shared" si="1"/>
        <v>0</v>
      </c>
      <c r="E17" s="730">
        <f t="shared" si="2"/>
        <v>0</v>
      </c>
      <c r="F17" s="731">
        <f t="shared" si="3"/>
        <v>0</v>
      </c>
      <c r="G17" s="730">
        <f t="shared" si="4"/>
        <v>0</v>
      </c>
      <c r="H17" s="731">
        <f t="shared" si="5"/>
        <v>0</v>
      </c>
      <c r="I17" s="730">
        <f t="shared" si="6"/>
        <v>0</v>
      </c>
      <c r="J17" s="731">
        <f t="shared" si="7"/>
        <v>0</v>
      </c>
      <c r="K17" s="730">
        <f t="shared" si="8"/>
        <v>0</v>
      </c>
      <c r="L17" s="731">
        <f t="shared" si="9"/>
        <v>0</v>
      </c>
      <c r="M17" s="730">
        <f t="shared" si="10"/>
        <v>0</v>
      </c>
      <c r="N17" s="731">
        <f t="shared" si="11"/>
        <v>0</v>
      </c>
      <c r="O17" s="730">
        <f t="shared" si="12"/>
        <v>0</v>
      </c>
      <c r="P17" s="731">
        <f t="shared" si="13"/>
        <v>0</v>
      </c>
      <c r="Q17" s="730">
        <f t="shared" si="14"/>
        <v>0</v>
      </c>
      <c r="R17" s="732">
        <f t="shared" si="15"/>
        <v>0</v>
      </c>
      <c r="S17" s="730">
        <f t="shared" si="16"/>
        <v>0</v>
      </c>
      <c r="T17" s="732">
        <f t="shared" si="17"/>
        <v>0</v>
      </c>
      <c r="U17" s="730">
        <f t="shared" si="18"/>
        <v>0</v>
      </c>
      <c r="V17" s="732">
        <f t="shared" si="19"/>
        <v>0</v>
      </c>
      <c r="W17" s="730">
        <f t="shared" si="20"/>
        <v>0</v>
      </c>
      <c r="X17" s="733">
        <f t="shared" si="21"/>
        <v>0</v>
      </c>
      <c r="Y17" s="470">
        <f t="shared" si="21"/>
        <v>0</v>
      </c>
      <c r="Z17" s="472">
        <f t="shared" si="21"/>
        <v>0</v>
      </c>
      <c r="AA17" s="713">
        <f>'t1'!M15</f>
        <v>0</v>
      </c>
      <c r="AC17" s="251"/>
      <c r="AD17" s="252"/>
      <c r="AE17" s="251"/>
      <c r="AF17" s="252"/>
      <c r="AG17" s="251"/>
      <c r="AH17" s="252"/>
      <c r="AI17" s="251"/>
      <c r="AJ17" s="252"/>
      <c r="AK17" s="251"/>
      <c r="AL17" s="252"/>
      <c r="AM17" s="251"/>
      <c r="AN17" s="252"/>
      <c r="AO17" s="251"/>
      <c r="AP17" s="252"/>
      <c r="AQ17" s="251"/>
      <c r="AR17" s="531"/>
      <c r="AS17" s="251"/>
      <c r="AT17" s="531"/>
      <c r="AU17" s="251"/>
      <c r="AV17" s="531"/>
      <c r="AW17" s="251"/>
      <c r="AX17" s="526"/>
      <c r="AY17" s="470">
        <f t="shared" si="22"/>
        <v>0</v>
      </c>
      <c r="AZ17" s="472">
        <f t="shared" si="23"/>
        <v>0</v>
      </c>
      <c r="BA17" s="713">
        <f>'t1'!AQ15</f>
        <v>0</v>
      </c>
    </row>
    <row r="18" spans="1:53" ht="13.15" customHeight="1" x14ac:dyDescent="0.2">
      <c r="A18" s="135" t="str">
        <f>'t1'!A16</f>
        <v>PROFESSIONISTI I LIVELLO</v>
      </c>
      <c r="B18" s="201" t="str">
        <f>'t1'!B16</f>
        <v>0D0PR1</v>
      </c>
      <c r="C18" s="730">
        <f t="shared" si="0"/>
        <v>0</v>
      </c>
      <c r="D18" s="731">
        <f t="shared" si="1"/>
        <v>0</v>
      </c>
      <c r="E18" s="730">
        <f t="shared" si="2"/>
        <v>0</v>
      </c>
      <c r="F18" s="731">
        <f t="shared" si="3"/>
        <v>0</v>
      </c>
      <c r="G18" s="730">
        <f t="shared" si="4"/>
        <v>0</v>
      </c>
      <c r="H18" s="731">
        <f t="shared" si="5"/>
        <v>0</v>
      </c>
      <c r="I18" s="730">
        <f t="shared" si="6"/>
        <v>0</v>
      </c>
      <c r="J18" s="731">
        <f t="shared" si="7"/>
        <v>0</v>
      </c>
      <c r="K18" s="730">
        <f t="shared" si="8"/>
        <v>0</v>
      </c>
      <c r="L18" s="731">
        <f t="shared" si="9"/>
        <v>0</v>
      </c>
      <c r="M18" s="730">
        <f t="shared" si="10"/>
        <v>0</v>
      </c>
      <c r="N18" s="731">
        <f t="shared" si="11"/>
        <v>0</v>
      </c>
      <c r="O18" s="730">
        <f t="shared" si="12"/>
        <v>0</v>
      </c>
      <c r="P18" s="731">
        <f t="shared" si="13"/>
        <v>0</v>
      </c>
      <c r="Q18" s="730">
        <f t="shared" si="14"/>
        <v>0</v>
      </c>
      <c r="R18" s="732">
        <f t="shared" si="15"/>
        <v>0</v>
      </c>
      <c r="S18" s="730">
        <f t="shared" si="16"/>
        <v>0</v>
      </c>
      <c r="T18" s="732">
        <f t="shared" si="17"/>
        <v>0</v>
      </c>
      <c r="U18" s="730">
        <f t="shared" si="18"/>
        <v>0</v>
      </c>
      <c r="V18" s="732">
        <f t="shared" si="19"/>
        <v>0</v>
      </c>
      <c r="W18" s="730">
        <f t="shared" si="20"/>
        <v>0</v>
      </c>
      <c r="X18" s="733">
        <f t="shared" si="21"/>
        <v>0</v>
      </c>
      <c r="Y18" s="470">
        <f t="shared" si="21"/>
        <v>0</v>
      </c>
      <c r="Z18" s="472">
        <f t="shared" si="21"/>
        <v>0</v>
      </c>
      <c r="AA18" s="713">
        <f>'t1'!M16</f>
        <v>0</v>
      </c>
      <c r="AC18" s="251"/>
      <c r="AD18" s="252"/>
      <c r="AE18" s="251"/>
      <c r="AF18" s="252"/>
      <c r="AG18" s="251"/>
      <c r="AH18" s="252"/>
      <c r="AI18" s="251"/>
      <c r="AJ18" s="252"/>
      <c r="AK18" s="251"/>
      <c r="AL18" s="252"/>
      <c r="AM18" s="251"/>
      <c r="AN18" s="252"/>
      <c r="AO18" s="251"/>
      <c r="AP18" s="252"/>
      <c r="AQ18" s="251"/>
      <c r="AR18" s="531"/>
      <c r="AS18" s="251"/>
      <c r="AT18" s="531"/>
      <c r="AU18" s="251"/>
      <c r="AV18" s="531"/>
      <c r="AW18" s="251"/>
      <c r="AX18" s="526"/>
      <c r="AY18" s="470">
        <f t="shared" si="22"/>
        <v>0</v>
      </c>
      <c r="AZ18" s="472">
        <f t="shared" si="23"/>
        <v>0</v>
      </c>
      <c r="BA18" s="713">
        <f>'t1'!AQ16</f>
        <v>0</v>
      </c>
    </row>
    <row r="19" spans="1:53" ht="13.15" customHeight="1" x14ac:dyDescent="0.2">
      <c r="A19" s="135" t="str">
        <f>'t1'!A17</f>
        <v>ELEVATE PROFESSIONALITA'</v>
      </c>
      <c r="B19" s="201" t="str">
        <f>'t1'!B17</f>
        <v>0EP981</v>
      </c>
      <c r="C19" s="730">
        <f t="shared" ref="C19:F23" si="24">ROUND(AC19,0)</f>
        <v>0</v>
      </c>
      <c r="D19" s="731">
        <f t="shared" si="24"/>
        <v>0</v>
      </c>
      <c r="E19" s="730">
        <f t="shared" si="24"/>
        <v>0</v>
      </c>
      <c r="F19" s="731">
        <f t="shared" si="24"/>
        <v>0</v>
      </c>
      <c r="G19" s="730">
        <f t="shared" si="4"/>
        <v>0</v>
      </c>
      <c r="H19" s="731">
        <f t="shared" si="5"/>
        <v>0</v>
      </c>
      <c r="I19" s="730">
        <f t="shared" ref="I19:N23" si="25">ROUND(AI19,0)</f>
        <v>0</v>
      </c>
      <c r="J19" s="731">
        <f t="shared" si="25"/>
        <v>0</v>
      </c>
      <c r="K19" s="730">
        <f t="shared" si="25"/>
        <v>0</v>
      </c>
      <c r="L19" s="731">
        <f t="shared" si="25"/>
        <v>0</v>
      </c>
      <c r="M19" s="730">
        <f t="shared" si="25"/>
        <v>0</v>
      </c>
      <c r="N19" s="731">
        <f t="shared" si="25"/>
        <v>0</v>
      </c>
      <c r="O19" s="730">
        <f t="shared" ref="O19:O23" si="26">ROUND(AO19,0)</f>
        <v>0</v>
      </c>
      <c r="P19" s="731">
        <f t="shared" ref="P19:P23" si="27">ROUND(AP19,0)</f>
        <v>0</v>
      </c>
      <c r="Q19" s="730">
        <f t="shared" ref="Q19:Q23" si="28">ROUND(AQ19,0)</f>
        <v>0</v>
      </c>
      <c r="R19" s="732">
        <f t="shared" ref="R19:R23" si="29">ROUND(AR19,0)</f>
        <v>0</v>
      </c>
      <c r="S19" s="730">
        <f t="shared" ref="S19:S23" si="30">ROUND(AS19,0)</f>
        <v>0</v>
      </c>
      <c r="T19" s="732">
        <f t="shared" ref="T19:T23" si="31">ROUND(AT19,0)</f>
        <v>0</v>
      </c>
      <c r="U19" s="730">
        <f t="shared" ref="U19:U23" si="32">ROUND(AU19,0)</f>
        <v>0</v>
      </c>
      <c r="V19" s="732">
        <f t="shared" ref="V19:V23" si="33">ROUND(AV19,0)</f>
        <v>0</v>
      </c>
      <c r="W19" s="730">
        <f t="shared" ref="W19:W23" si="34">ROUND(AW19,0)</f>
        <v>0</v>
      </c>
      <c r="X19" s="733">
        <f t="shared" ref="X19:Z23" si="35">ROUND(AX19,0)</f>
        <v>0</v>
      </c>
      <c r="Y19" s="470">
        <f t="shared" si="35"/>
        <v>0</v>
      </c>
      <c r="Z19" s="472">
        <f t="shared" si="35"/>
        <v>0</v>
      </c>
      <c r="AA19" s="713">
        <f>'t1'!M17</f>
        <v>0</v>
      </c>
      <c r="AC19" s="251"/>
      <c r="AD19" s="252"/>
      <c r="AE19" s="251"/>
      <c r="AF19" s="252"/>
      <c r="AG19" s="251"/>
      <c r="AH19" s="252"/>
      <c r="AI19" s="251"/>
      <c r="AJ19" s="252"/>
      <c r="AK19" s="251"/>
      <c r="AL19" s="252"/>
      <c r="AM19" s="251"/>
      <c r="AN19" s="252"/>
      <c r="AO19" s="251"/>
      <c r="AP19" s="252"/>
      <c r="AQ19" s="251"/>
      <c r="AR19" s="531"/>
      <c r="AS19" s="251"/>
      <c r="AT19" s="531"/>
      <c r="AU19" s="251"/>
      <c r="AV19" s="531"/>
      <c r="AW19" s="251"/>
      <c r="AX19" s="526"/>
      <c r="AY19" s="470">
        <f t="shared" si="22"/>
        <v>0</v>
      </c>
      <c r="AZ19" s="472">
        <f t="shared" si="23"/>
        <v>0</v>
      </c>
      <c r="BA19" s="713">
        <f>'t1'!AQ17</f>
        <v>0</v>
      </c>
    </row>
    <row r="20" spans="1:53" ht="13.15" customHeight="1" x14ac:dyDescent="0.2">
      <c r="A20" s="135" t="str">
        <f>'t1'!A18</f>
        <v>FUNZIONARI</v>
      </c>
      <c r="B20" s="201" t="str">
        <f>'t1'!B18</f>
        <v>0FZ000</v>
      </c>
      <c r="C20" s="730">
        <f t="shared" si="24"/>
        <v>0</v>
      </c>
      <c r="D20" s="731">
        <f t="shared" si="24"/>
        <v>0</v>
      </c>
      <c r="E20" s="730">
        <f t="shared" si="24"/>
        <v>0</v>
      </c>
      <c r="F20" s="731">
        <f t="shared" si="24"/>
        <v>0</v>
      </c>
      <c r="G20" s="730">
        <f t="shared" si="4"/>
        <v>0</v>
      </c>
      <c r="H20" s="731">
        <f t="shared" si="5"/>
        <v>0</v>
      </c>
      <c r="I20" s="730">
        <f t="shared" si="25"/>
        <v>0</v>
      </c>
      <c r="J20" s="731">
        <f t="shared" si="25"/>
        <v>0</v>
      </c>
      <c r="K20" s="730">
        <f t="shared" si="25"/>
        <v>0</v>
      </c>
      <c r="L20" s="731">
        <f t="shared" si="25"/>
        <v>0</v>
      </c>
      <c r="M20" s="730">
        <f t="shared" si="25"/>
        <v>0</v>
      </c>
      <c r="N20" s="731">
        <f t="shared" si="25"/>
        <v>0</v>
      </c>
      <c r="O20" s="730">
        <f t="shared" si="26"/>
        <v>0</v>
      </c>
      <c r="P20" s="731">
        <f t="shared" si="27"/>
        <v>0</v>
      </c>
      <c r="Q20" s="730">
        <f t="shared" si="28"/>
        <v>0</v>
      </c>
      <c r="R20" s="732">
        <f t="shared" si="29"/>
        <v>0</v>
      </c>
      <c r="S20" s="730">
        <f t="shared" si="30"/>
        <v>0</v>
      </c>
      <c r="T20" s="732">
        <f t="shared" si="31"/>
        <v>0</v>
      </c>
      <c r="U20" s="730">
        <f t="shared" si="32"/>
        <v>0</v>
      </c>
      <c r="V20" s="732">
        <f t="shared" si="33"/>
        <v>0</v>
      </c>
      <c r="W20" s="730">
        <f t="shared" si="34"/>
        <v>0</v>
      </c>
      <c r="X20" s="733">
        <f t="shared" si="35"/>
        <v>0</v>
      </c>
      <c r="Y20" s="470">
        <f t="shared" si="35"/>
        <v>0</v>
      </c>
      <c r="Z20" s="472">
        <f t="shared" si="35"/>
        <v>0</v>
      </c>
      <c r="AA20" s="713">
        <f>'t1'!M18</f>
        <v>0</v>
      </c>
      <c r="AC20" s="251"/>
      <c r="AD20" s="252"/>
      <c r="AE20" s="251"/>
      <c r="AF20" s="252"/>
      <c r="AG20" s="251"/>
      <c r="AH20" s="252"/>
      <c r="AI20" s="251"/>
      <c r="AJ20" s="252"/>
      <c r="AK20" s="251"/>
      <c r="AL20" s="252"/>
      <c r="AM20" s="251"/>
      <c r="AN20" s="252"/>
      <c r="AO20" s="251"/>
      <c r="AP20" s="252"/>
      <c r="AQ20" s="251"/>
      <c r="AR20" s="531"/>
      <c r="AS20" s="251"/>
      <c r="AT20" s="531"/>
      <c r="AU20" s="251"/>
      <c r="AV20" s="531"/>
      <c r="AW20" s="251"/>
      <c r="AX20" s="526"/>
      <c r="AY20" s="470">
        <f t="shared" si="22"/>
        <v>0</v>
      </c>
      <c r="AZ20" s="472">
        <f t="shared" si="23"/>
        <v>0</v>
      </c>
      <c r="BA20" s="713">
        <f>'t1'!AQ18</f>
        <v>0</v>
      </c>
    </row>
    <row r="21" spans="1:53" ht="13.15" customHeight="1" x14ac:dyDescent="0.2">
      <c r="A21" s="135" t="str">
        <f>'t1'!A19</f>
        <v>ASSISTENTI</v>
      </c>
      <c r="B21" s="201" t="str">
        <f>'t1'!B19</f>
        <v>0AS000</v>
      </c>
      <c r="C21" s="730">
        <f t="shared" si="24"/>
        <v>0</v>
      </c>
      <c r="D21" s="731">
        <f t="shared" si="24"/>
        <v>26</v>
      </c>
      <c r="E21" s="730">
        <f t="shared" si="24"/>
        <v>0</v>
      </c>
      <c r="F21" s="731">
        <f t="shared" si="24"/>
        <v>2</v>
      </c>
      <c r="G21" s="730">
        <f t="shared" si="4"/>
        <v>0</v>
      </c>
      <c r="H21" s="731">
        <f t="shared" si="5"/>
        <v>0</v>
      </c>
      <c r="I21" s="730">
        <f t="shared" si="25"/>
        <v>0</v>
      </c>
      <c r="J21" s="731">
        <f t="shared" si="25"/>
        <v>0</v>
      </c>
      <c r="K21" s="730">
        <f t="shared" si="25"/>
        <v>0</v>
      </c>
      <c r="L21" s="731">
        <f t="shared" si="25"/>
        <v>0</v>
      </c>
      <c r="M21" s="730">
        <f t="shared" si="25"/>
        <v>0</v>
      </c>
      <c r="N21" s="731">
        <f t="shared" si="25"/>
        <v>0</v>
      </c>
      <c r="O21" s="730">
        <f t="shared" si="26"/>
        <v>0</v>
      </c>
      <c r="P21" s="731">
        <f t="shared" si="27"/>
        <v>0</v>
      </c>
      <c r="Q21" s="730">
        <f t="shared" si="28"/>
        <v>0</v>
      </c>
      <c r="R21" s="732">
        <f t="shared" si="29"/>
        <v>0</v>
      </c>
      <c r="S21" s="730">
        <f t="shared" si="30"/>
        <v>0</v>
      </c>
      <c r="T21" s="732">
        <f t="shared" si="31"/>
        <v>0</v>
      </c>
      <c r="U21" s="730">
        <f t="shared" si="32"/>
        <v>0</v>
      </c>
      <c r="V21" s="732">
        <f t="shared" si="33"/>
        <v>0</v>
      </c>
      <c r="W21" s="730">
        <f t="shared" si="34"/>
        <v>0</v>
      </c>
      <c r="X21" s="733">
        <f t="shared" si="35"/>
        <v>0</v>
      </c>
      <c r="Y21" s="470">
        <f t="shared" si="35"/>
        <v>0</v>
      </c>
      <c r="Z21" s="472">
        <f t="shared" si="35"/>
        <v>28</v>
      </c>
      <c r="AA21" s="713">
        <f>'t1'!M19</f>
        <v>1</v>
      </c>
      <c r="AC21" s="251"/>
      <c r="AD21" s="252">
        <v>26</v>
      </c>
      <c r="AE21" s="251"/>
      <c r="AF21" s="252">
        <v>2</v>
      </c>
      <c r="AG21" s="251"/>
      <c r="AH21" s="252"/>
      <c r="AI21" s="251"/>
      <c r="AJ21" s="252">
        <v>0</v>
      </c>
      <c r="AK21" s="251"/>
      <c r="AL21" s="252">
        <v>0</v>
      </c>
      <c r="AM21" s="251"/>
      <c r="AN21" s="252">
        <v>0</v>
      </c>
      <c r="AO21" s="251"/>
      <c r="AP21" s="252">
        <v>0</v>
      </c>
      <c r="AQ21" s="251"/>
      <c r="AR21" s="531">
        <v>0</v>
      </c>
      <c r="AS21" s="251"/>
      <c r="AT21" s="531">
        <v>0</v>
      </c>
      <c r="AU21" s="251"/>
      <c r="AV21" s="531">
        <v>0</v>
      </c>
      <c r="AW21" s="251"/>
      <c r="AX21" s="526">
        <v>0</v>
      </c>
      <c r="AY21" s="470">
        <f t="shared" si="22"/>
        <v>0</v>
      </c>
      <c r="AZ21" s="472">
        <f t="shared" si="23"/>
        <v>28</v>
      </c>
      <c r="BA21" s="713">
        <f>'t1'!AQ19</f>
        <v>0</v>
      </c>
    </row>
    <row r="22" spans="1:53" ht="13.15" customHeight="1" x14ac:dyDescent="0.2">
      <c r="A22" s="135" t="str">
        <f>'t1'!A20</f>
        <v>OPERATORI</v>
      </c>
      <c r="B22" s="201" t="str">
        <f>'t1'!B20</f>
        <v>0OP000</v>
      </c>
      <c r="C22" s="730">
        <f t="shared" si="24"/>
        <v>0</v>
      </c>
      <c r="D22" s="731">
        <f t="shared" si="24"/>
        <v>0</v>
      </c>
      <c r="E22" s="730">
        <f t="shared" si="24"/>
        <v>0</v>
      </c>
      <c r="F22" s="731">
        <f t="shared" si="24"/>
        <v>0</v>
      </c>
      <c r="G22" s="730">
        <f t="shared" si="4"/>
        <v>0</v>
      </c>
      <c r="H22" s="731">
        <f t="shared" si="5"/>
        <v>0</v>
      </c>
      <c r="I22" s="730">
        <f t="shared" si="25"/>
        <v>0</v>
      </c>
      <c r="J22" s="731">
        <f t="shared" si="25"/>
        <v>0</v>
      </c>
      <c r="K22" s="730">
        <f t="shared" si="25"/>
        <v>0</v>
      </c>
      <c r="L22" s="731">
        <f t="shared" si="25"/>
        <v>0</v>
      </c>
      <c r="M22" s="730">
        <f t="shared" si="25"/>
        <v>0</v>
      </c>
      <c r="N22" s="731">
        <f t="shared" si="25"/>
        <v>0</v>
      </c>
      <c r="O22" s="730">
        <f t="shared" si="26"/>
        <v>0</v>
      </c>
      <c r="P22" s="731">
        <f t="shared" si="27"/>
        <v>0</v>
      </c>
      <c r="Q22" s="730">
        <f t="shared" si="28"/>
        <v>0</v>
      </c>
      <c r="R22" s="732">
        <f t="shared" si="29"/>
        <v>0</v>
      </c>
      <c r="S22" s="730">
        <f t="shared" si="30"/>
        <v>0</v>
      </c>
      <c r="T22" s="732">
        <f t="shared" si="31"/>
        <v>0</v>
      </c>
      <c r="U22" s="730">
        <f t="shared" si="32"/>
        <v>0</v>
      </c>
      <c r="V22" s="732">
        <f t="shared" si="33"/>
        <v>0</v>
      </c>
      <c r="W22" s="730">
        <f t="shared" si="34"/>
        <v>0</v>
      </c>
      <c r="X22" s="733">
        <f t="shared" si="35"/>
        <v>0</v>
      </c>
      <c r="Y22" s="470">
        <f t="shared" si="35"/>
        <v>0</v>
      </c>
      <c r="Z22" s="472">
        <f t="shared" si="35"/>
        <v>0</v>
      </c>
      <c r="AA22" s="713">
        <f>'t1'!M20</f>
        <v>0</v>
      </c>
      <c r="AC22" s="251"/>
      <c r="AD22" s="252"/>
      <c r="AE22" s="251"/>
      <c r="AF22" s="252"/>
      <c r="AG22" s="251"/>
      <c r="AH22" s="252"/>
      <c r="AI22" s="251"/>
      <c r="AJ22" s="252"/>
      <c r="AK22" s="251"/>
      <c r="AL22" s="252"/>
      <c r="AM22" s="251"/>
      <c r="AN22" s="252"/>
      <c r="AO22" s="251"/>
      <c r="AP22" s="252"/>
      <c r="AQ22" s="251"/>
      <c r="AR22" s="531"/>
      <c r="AS22" s="251"/>
      <c r="AT22" s="531"/>
      <c r="AU22" s="251"/>
      <c r="AV22" s="531"/>
      <c r="AW22" s="251"/>
      <c r="AX22" s="526"/>
      <c r="AY22" s="470">
        <f t="shared" si="22"/>
        <v>0</v>
      </c>
      <c r="AZ22" s="472">
        <f t="shared" si="23"/>
        <v>0</v>
      </c>
      <c r="BA22" s="713">
        <f>'t1'!AQ20</f>
        <v>0</v>
      </c>
    </row>
    <row r="23" spans="1:53" ht="13.15" customHeight="1" thickBot="1" x14ac:dyDescent="0.25">
      <c r="A23" s="135" t="str">
        <f>'t1'!A21</f>
        <v>CONTRATTISTI</v>
      </c>
      <c r="B23" s="201" t="str">
        <f>'t1'!B21</f>
        <v>000061</v>
      </c>
      <c r="C23" s="730">
        <f t="shared" si="24"/>
        <v>0</v>
      </c>
      <c r="D23" s="731">
        <f t="shared" si="24"/>
        <v>0</v>
      </c>
      <c r="E23" s="730">
        <f t="shared" si="24"/>
        <v>0</v>
      </c>
      <c r="F23" s="731">
        <f t="shared" si="24"/>
        <v>0</v>
      </c>
      <c r="G23" s="730">
        <f t="shared" si="4"/>
        <v>0</v>
      </c>
      <c r="H23" s="731">
        <f t="shared" si="5"/>
        <v>0</v>
      </c>
      <c r="I23" s="730">
        <f t="shared" si="25"/>
        <v>0</v>
      </c>
      <c r="J23" s="731">
        <f t="shared" si="25"/>
        <v>0</v>
      </c>
      <c r="K23" s="730">
        <f t="shared" si="25"/>
        <v>0</v>
      </c>
      <c r="L23" s="731">
        <f t="shared" si="25"/>
        <v>0</v>
      </c>
      <c r="M23" s="730">
        <f t="shared" si="25"/>
        <v>0</v>
      </c>
      <c r="N23" s="731">
        <f t="shared" si="25"/>
        <v>0</v>
      </c>
      <c r="O23" s="730">
        <f t="shared" si="26"/>
        <v>0</v>
      </c>
      <c r="P23" s="731">
        <f t="shared" si="27"/>
        <v>0</v>
      </c>
      <c r="Q23" s="730">
        <f t="shared" si="28"/>
        <v>0</v>
      </c>
      <c r="R23" s="732">
        <f t="shared" si="29"/>
        <v>0</v>
      </c>
      <c r="S23" s="730">
        <f t="shared" si="30"/>
        <v>0</v>
      </c>
      <c r="T23" s="732">
        <f t="shared" si="31"/>
        <v>0</v>
      </c>
      <c r="U23" s="730">
        <f t="shared" si="32"/>
        <v>0</v>
      </c>
      <c r="V23" s="732">
        <f t="shared" si="33"/>
        <v>0</v>
      </c>
      <c r="W23" s="730">
        <f t="shared" si="34"/>
        <v>0</v>
      </c>
      <c r="X23" s="733">
        <f t="shared" si="35"/>
        <v>0</v>
      </c>
      <c r="Y23" s="470">
        <f t="shared" si="35"/>
        <v>0</v>
      </c>
      <c r="Z23" s="472">
        <f t="shared" si="35"/>
        <v>0</v>
      </c>
      <c r="AA23" s="713">
        <f>'t1'!M21</f>
        <v>0</v>
      </c>
      <c r="AC23" s="251"/>
      <c r="AD23" s="252"/>
      <c r="AE23" s="251"/>
      <c r="AF23" s="252"/>
      <c r="AG23" s="251"/>
      <c r="AH23" s="252"/>
      <c r="AI23" s="251"/>
      <c r="AJ23" s="252"/>
      <c r="AK23" s="251"/>
      <c r="AL23" s="252"/>
      <c r="AM23" s="251"/>
      <c r="AN23" s="252"/>
      <c r="AO23" s="251"/>
      <c r="AP23" s="252"/>
      <c r="AQ23" s="251"/>
      <c r="AR23" s="531"/>
      <c r="AS23" s="251"/>
      <c r="AT23" s="531"/>
      <c r="AU23" s="251"/>
      <c r="AV23" s="531"/>
      <c r="AW23" s="251"/>
      <c r="AX23" s="526"/>
      <c r="AY23" s="470">
        <f t="shared" si="22"/>
        <v>0</v>
      </c>
      <c r="AZ23" s="472">
        <f t="shared" si="23"/>
        <v>0</v>
      </c>
      <c r="BA23" s="713">
        <f>'t1'!AQ21</f>
        <v>0</v>
      </c>
    </row>
    <row r="24" spans="1:53" ht="13.15" customHeight="1" thickTop="1" thickBot="1" x14ac:dyDescent="0.25">
      <c r="A24" s="25" t="s">
        <v>60</v>
      </c>
      <c r="B24" s="555"/>
      <c r="C24" s="419">
        <f t="shared" ref="C24:Z24" si="36">SUM(C8:C23)</f>
        <v>0</v>
      </c>
      <c r="D24" s="420">
        <f t="shared" si="36"/>
        <v>26</v>
      </c>
      <c r="E24" s="419">
        <f t="shared" si="36"/>
        <v>0</v>
      </c>
      <c r="F24" s="420">
        <f t="shared" si="36"/>
        <v>2</v>
      </c>
      <c r="G24" s="419">
        <f t="shared" si="36"/>
        <v>0</v>
      </c>
      <c r="H24" s="420">
        <f t="shared" si="36"/>
        <v>0</v>
      </c>
      <c r="I24" s="419">
        <f t="shared" si="36"/>
        <v>0</v>
      </c>
      <c r="J24" s="420">
        <f t="shared" si="36"/>
        <v>0</v>
      </c>
      <c r="K24" s="419">
        <f t="shared" si="36"/>
        <v>0</v>
      </c>
      <c r="L24" s="420">
        <f t="shared" si="36"/>
        <v>0</v>
      </c>
      <c r="M24" s="419">
        <f t="shared" si="36"/>
        <v>0</v>
      </c>
      <c r="N24" s="420">
        <f t="shared" si="36"/>
        <v>0</v>
      </c>
      <c r="O24" s="419">
        <f t="shared" si="36"/>
        <v>0</v>
      </c>
      <c r="P24" s="420">
        <f t="shared" si="36"/>
        <v>0</v>
      </c>
      <c r="Q24" s="419">
        <f t="shared" si="36"/>
        <v>0</v>
      </c>
      <c r="R24" s="532">
        <f t="shared" si="36"/>
        <v>0</v>
      </c>
      <c r="S24" s="419">
        <f t="shared" si="36"/>
        <v>0</v>
      </c>
      <c r="T24" s="532">
        <f t="shared" si="36"/>
        <v>0</v>
      </c>
      <c r="U24" s="419">
        <f t="shared" si="36"/>
        <v>0</v>
      </c>
      <c r="V24" s="532">
        <f t="shared" si="36"/>
        <v>0</v>
      </c>
      <c r="W24" s="419">
        <f t="shared" si="36"/>
        <v>0</v>
      </c>
      <c r="X24" s="527">
        <f t="shared" si="36"/>
        <v>0</v>
      </c>
      <c r="Y24" s="419">
        <f t="shared" si="36"/>
        <v>0</v>
      </c>
      <c r="Z24" s="421">
        <f t="shared" si="36"/>
        <v>28</v>
      </c>
      <c r="AA24" s="713"/>
      <c r="AC24" s="419">
        <f>SUM(AC8:AC23)</f>
        <v>0</v>
      </c>
      <c r="AD24" s="420">
        <f>SUM(AD8:AD23)</f>
        <v>26</v>
      </c>
      <c r="AE24" s="419">
        <f>SUM(AE8:AE23)</f>
        <v>0</v>
      </c>
      <c r="AF24" s="420">
        <f>SUM(AF8:AF23)</f>
        <v>2</v>
      </c>
      <c r="AG24" s="419">
        <f t="shared" ref="AG24:AH24" si="37">SUM(AG8:AG23)</f>
        <v>0</v>
      </c>
      <c r="AH24" s="420">
        <f t="shared" si="37"/>
        <v>0</v>
      </c>
      <c r="AI24" s="419">
        <f t="shared" ref="AI24:AZ24" si="38">SUM(AI8:AI23)</f>
        <v>0</v>
      </c>
      <c r="AJ24" s="420">
        <f t="shared" si="38"/>
        <v>0</v>
      </c>
      <c r="AK24" s="419">
        <f t="shared" si="38"/>
        <v>0</v>
      </c>
      <c r="AL24" s="420">
        <f t="shared" si="38"/>
        <v>0</v>
      </c>
      <c r="AM24" s="419">
        <f t="shared" si="38"/>
        <v>0</v>
      </c>
      <c r="AN24" s="420">
        <f t="shared" si="38"/>
        <v>0</v>
      </c>
      <c r="AO24" s="419">
        <f t="shared" si="38"/>
        <v>0</v>
      </c>
      <c r="AP24" s="420">
        <f t="shared" si="38"/>
        <v>0</v>
      </c>
      <c r="AQ24" s="419">
        <f t="shared" si="38"/>
        <v>0</v>
      </c>
      <c r="AR24" s="532">
        <f t="shared" si="38"/>
        <v>0</v>
      </c>
      <c r="AS24" s="419">
        <f t="shared" si="38"/>
        <v>0</v>
      </c>
      <c r="AT24" s="532">
        <f t="shared" si="38"/>
        <v>0</v>
      </c>
      <c r="AU24" s="419">
        <f t="shared" si="38"/>
        <v>0</v>
      </c>
      <c r="AV24" s="532">
        <f t="shared" si="38"/>
        <v>0</v>
      </c>
      <c r="AW24" s="419">
        <f t="shared" si="38"/>
        <v>0</v>
      </c>
      <c r="AX24" s="527">
        <f t="shared" si="38"/>
        <v>0</v>
      </c>
      <c r="AY24" s="419">
        <f t="shared" si="38"/>
        <v>0</v>
      </c>
      <c r="AZ24" s="421">
        <f t="shared" si="38"/>
        <v>28</v>
      </c>
      <c r="BA24" s="713"/>
    </row>
    <row r="25" spans="1:53" ht="17.25" customHeight="1" x14ac:dyDescent="0.2">
      <c r="A25" s="18" t="str">
        <f>'t1'!$A$23</f>
        <v>(a) personale a tempo indeterminato al quale viene applicato un contratto di lavoro di tipo privatistico (es.:tipografico,chimico,edile,metalmeccanico,portierato, ecc.)</v>
      </c>
      <c r="B25" s="2"/>
      <c r="C25" s="3"/>
      <c r="D25" s="3"/>
      <c r="E25" s="3"/>
      <c r="F25" s="3"/>
      <c r="G25" s="3"/>
      <c r="H25" s="3"/>
      <c r="I25" s="3"/>
      <c r="K25" s="3"/>
      <c r="AA25" s="713"/>
      <c r="AC25" s="3"/>
      <c r="AD25" s="3"/>
      <c r="AE25" s="3"/>
      <c r="AF25" s="3"/>
      <c r="AG25" s="3"/>
      <c r="AH25" s="3"/>
      <c r="AI25" s="3"/>
      <c r="AK25" s="3"/>
      <c r="BA25" s="713"/>
    </row>
    <row r="26" spans="1:53" x14ac:dyDescent="0.2">
      <c r="A26" s="18"/>
    </row>
  </sheetData>
  <sheetProtection algorithmName="SHA-512" hashValue="enzFPmp55PlrV6AiPqZxagcnXk4bzgJn3T1zEUQRC3QwWPLmSo5vE7abtdMVdvCj5/PKpfbybvfdMwbXnTwAOw==" saltValue="pnHTXLR8yuXE4iXCwFxyjg==" spinCount="100000" sheet="1" formatColumns="0" selectLockedCells="1"/>
  <mergeCells count="47">
    <mergeCell ref="K5:L5"/>
    <mergeCell ref="M4:N4"/>
    <mergeCell ref="K2:L2"/>
    <mergeCell ref="M5:N5"/>
    <mergeCell ref="C5:D5"/>
    <mergeCell ref="E5:F5"/>
    <mergeCell ref="E4:F4"/>
    <mergeCell ref="I2:J2"/>
    <mergeCell ref="I4:J4"/>
    <mergeCell ref="I5:J5"/>
    <mergeCell ref="G4:H4"/>
    <mergeCell ref="G5:H5"/>
    <mergeCell ref="AW5:AX5"/>
    <mergeCell ref="AC5:AD5"/>
    <mergeCell ref="AE5:AF5"/>
    <mergeCell ref="AI5:AJ5"/>
    <mergeCell ref="AU5:AV5"/>
    <mergeCell ref="AQ5:AR5"/>
    <mergeCell ref="AS5:AT5"/>
    <mergeCell ref="AM5:AN5"/>
    <mergeCell ref="AO5:AP5"/>
    <mergeCell ref="AK5:AL5"/>
    <mergeCell ref="AG5:AH5"/>
    <mergeCell ref="O4:P4"/>
    <mergeCell ref="Q5:R5"/>
    <mergeCell ref="S5:T5"/>
    <mergeCell ref="U5:V5"/>
    <mergeCell ref="AE4:AF4"/>
    <mergeCell ref="W5:X5"/>
    <mergeCell ref="O5:P5"/>
    <mergeCell ref="Q4:R4"/>
    <mergeCell ref="A1:AZ1"/>
    <mergeCell ref="AO4:AP4"/>
    <mergeCell ref="AQ4:AR4"/>
    <mergeCell ref="AS4:AT4"/>
    <mergeCell ref="AW4:AX4"/>
    <mergeCell ref="AU4:AV4"/>
    <mergeCell ref="U4:V4"/>
    <mergeCell ref="AM4:AN4"/>
    <mergeCell ref="AI2:AJ2"/>
    <mergeCell ref="AK2:AL2"/>
    <mergeCell ref="AI4:AJ4"/>
    <mergeCell ref="AK4:AL4"/>
    <mergeCell ref="K4:L4"/>
    <mergeCell ref="S4:T4"/>
    <mergeCell ref="W4:X4"/>
    <mergeCell ref="AG4:AH4"/>
  </mergeCells>
  <phoneticPr fontId="30" type="noConversion"/>
  <conditionalFormatting sqref="A8:Z23 AC8:AZ23">
    <cfRule type="expression" dxfId="37" priority="5" stopIfTrue="1">
      <formula>$AA8&gt;0</formula>
    </cfRule>
  </conditionalFormatting>
  <printOptions horizontalCentered="1" verticalCentered="1"/>
  <pageMargins left="0" right="0" top="0.19685039370078741" bottom="0.15748031496062992" header="0.15748031496062992" footer="0.19685039370078741"/>
  <pageSetup paperSize="9" scale="70"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oglio19"/>
  <dimension ref="A1:AL26"/>
  <sheetViews>
    <sheetView showGridLines="0" tabSelected="1" zoomScaleNormal="100" workbookViewId="0">
      <pane xSplit="2" ySplit="5" topLeftCell="AA6" activePane="bottomRight" state="frozen"/>
      <selection activeCell="C4" sqref="C4:C6"/>
      <selection pane="topRight" activeCell="C4" sqref="C4:C6"/>
      <selection pane="bottomLeft" activeCell="C4" sqref="C4:C6"/>
      <selection pane="bottomRight" activeCell="AE19" sqref="AE19"/>
    </sheetView>
  </sheetViews>
  <sheetFormatPr defaultColWidth="9.33203125" defaultRowHeight="11.25" x14ac:dyDescent="0.2"/>
  <cols>
    <col min="1" max="1" width="39.6640625" style="3" customWidth="1"/>
    <col min="2" max="2" width="11" style="2" customWidth="1"/>
    <col min="3" max="3" width="14.6640625" style="3" hidden="1" customWidth="1"/>
    <col min="4" max="11" width="16.6640625" style="3" hidden="1" customWidth="1"/>
    <col min="12" max="12" width="6.1640625" style="3" hidden="1" customWidth="1"/>
    <col min="13" max="13" width="10" style="821" hidden="1" customWidth="1"/>
    <col min="14" max="26" width="9.33203125" style="3" hidden="1" customWidth="1"/>
    <col min="27" max="27" width="14.6640625" style="3" customWidth="1"/>
    <col min="28" max="35" width="16.6640625" style="3" customWidth="1"/>
    <col min="36" max="36" width="6.1640625" style="3" hidden="1" customWidth="1"/>
    <col min="37" max="37" width="0" style="3" hidden="1" customWidth="1"/>
    <col min="38" max="38" width="9.33203125" style="3"/>
    <col min="39" max="42" width="0" style="3" hidden="1" customWidth="1"/>
    <col min="43" max="43" width="39.6640625" style="3" customWidth="1"/>
    <col min="44" max="16384" width="9.33203125" style="3"/>
  </cols>
  <sheetData>
    <row r="1" spans="1:38" ht="33" customHeight="1" x14ac:dyDescent="0.2">
      <c r="A1" s="1447" t="str">
        <f>'t1'!A1</f>
        <v>ENTI PUBBLICI NON ECONOMICI - anno 2024</v>
      </c>
      <c r="B1" s="1447"/>
      <c r="C1" s="1447"/>
      <c r="D1" s="1447"/>
      <c r="E1" s="1447"/>
      <c r="F1" s="1447"/>
      <c r="G1" s="1447"/>
      <c r="H1" s="1447"/>
      <c r="I1" s="1447"/>
      <c r="J1" s="1447"/>
      <c r="K1" s="1447"/>
      <c r="L1" s="1447"/>
      <c r="M1" s="1447"/>
      <c r="N1" s="1447"/>
      <c r="O1" s="1447"/>
      <c r="P1" s="1447"/>
      <c r="Q1" s="1447"/>
      <c r="R1" s="1447"/>
      <c r="S1" s="1447"/>
      <c r="T1" s="1447"/>
      <c r="U1" s="1447"/>
      <c r="V1" s="1447"/>
      <c r="W1" s="1447"/>
      <c r="X1" s="1447"/>
      <c r="Y1" s="1447"/>
      <c r="Z1" s="1447"/>
      <c r="AA1" s="1447"/>
      <c r="AB1" s="1447"/>
      <c r="AC1" s="1447"/>
      <c r="AD1" s="1447"/>
      <c r="AE1" s="1447"/>
      <c r="AF1" s="1447"/>
      <c r="AG1" s="1447"/>
      <c r="AH1" s="1447"/>
      <c r="AI1" s="1447"/>
      <c r="AJ1" s="285"/>
      <c r="AL1"/>
    </row>
    <row r="2" spans="1:38" ht="27" customHeight="1" thickBot="1" x14ac:dyDescent="0.25">
      <c r="A2" s="5"/>
      <c r="I2" s="1489"/>
      <c r="J2" s="1489"/>
      <c r="K2" s="1489"/>
      <c r="L2" s="1537"/>
      <c r="AG2" s="1489"/>
      <c r="AH2" s="1489"/>
      <c r="AI2" s="1489"/>
      <c r="AJ2" s="1537"/>
    </row>
    <row r="3" spans="1:38" ht="12" thickBot="1" x14ac:dyDescent="0.25">
      <c r="A3" s="7"/>
      <c r="B3" s="8"/>
      <c r="C3" s="1290"/>
      <c r="D3" s="9"/>
      <c r="E3" s="9"/>
      <c r="F3" s="9"/>
      <c r="G3" s="9"/>
      <c r="H3" s="9"/>
      <c r="I3" s="9"/>
      <c r="J3" s="109"/>
      <c r="K3" s="109"/>
      <c r="L3" s="606"/>
      <c r="AA3" s="1290" t="s">
        <v>240</v>
      </c>
      <c r="AB3" s="9"/>
      <c r="AC3" s="9"/>
      <c r="AD3" s="9"/>
      <c r="AE3" s="9"/>
      <c r="AF3" s="9"/>
      <c r="AG3" s="9"/>
      <c r="AH3" s="109"/>
      <c r="AI3" s="109"/>
      <c r="AJ3" s="606"/>
    </row>
    <row r="4" spans="1:38" ht="52.9" customHeight="1" thickTop="1" x14ac:dyDescent="0.2">
      <c r="A4" s="19" t="s">
        <v>130</v>
      </c>
      <c r="B4" s="110" t="s">
        <v>57</v>
      </c>
      <c r="C4" s="111" t="s">
        <v>167</v>
      </c>
      <c r="D4" s="111" t="s">
        <v>131</v>
      </c>
      <c r="E4" s="825" t="s">
        <v>709</v>
      </c>
      <c r="F4" s="111" t="s">
        <v>989</v>
      </c>
      <c r="G4" s="111" t="s">
        <v>1077</v>
      </c>
      <c r="H4" s="111" t="s">
        <v>95</v>
      </c>
      <c r="I4" s="111" t="s">
        <v>166</v>
      </c>
      <c r="J4" s="111" t="s">
        <v>96</v>
      </c>
      <c r="K4" s="557" t="s">
        <v>60</v>
      </c>
      <c r="AA4" s="111" t="s">
        <v>167</v>
      </c>
      <c r="AB4" s="111" t="s">
        <v>131</v>
      </c>
      <c r="AC4" s="825" t="s">
        <v>709</v>
      </c>
      <c r="AD4" s="111" t="s">
        <v>989</v>
      </c>
      <c r="AE4" s="111" t="s">
        <v>1077</v>
      </c>
      <c r="AF4" s="111" t="s">
        <v>95</v>
      </c>
      <c r="AG4" s="111" t="s">
        <v>166</v>
      </c>
      <c r="AH4" s="111" t="s">
        <v>96</v>
      </c>
      <c r="AI4" s="557" t="s">
        <v>60</v>
      </c>
    </row>
    <row r="5" spans="1:38" s="246" customFormat="1" ht="12" thickBot="1" x14ac:dyDescent="0.25">
      <c r="A5" s="715" t="s">
        <v>593</v>
      </c>
      <c r="B5" s="267"/>
      <c r="C5" s="268" t="s">
        <v>390</v>
      </c>
      <c r="D5" s="268" t="s">
        <v>386</v>
      </c>
      <c r="E5" s="268" t="s">
        <v>710</v>
      </c>
      <c r="F5" s="268" t="s">
        <v>988</v>
      </c>
      <c r="G5" s="268" t="s">
        <v>1078</v>
      </c>
      <c r="H5" s="268" t="s">
        <v>387</v>
      </c>
      <c r="I5" s="268" t="s">
        <v>388</v>
      </c>
      <c r="J5" s="268" t="s">
        <v>389</v>
      </c>
      <c r="K5" s="269"/>
      <c r="M5" s="823"/>
      <c r="AA5" s="268" t="s">
        <v>390</v>
      </c>
      <c r="AB5" s="268" t="s">
        <v>386</v>
      </c>
      <c r="AC5" s="268" t="s">
        <v>710</v>
      </c>
      <c r="AD5" s="268" t="s">
        <v>988</v>
      </c>
      <c r="AE5" s="268" t="s">
        <v>1078</v>
      </c>
      <c r="AF5" s="268" t="s">
        <v>387</v>
      </c>
      <c r="AG5" s="268" t="s">
        <v>388</v>
      </c>
      <c r="AH5" s="268" t="s">
        <v>389</v>
      </c>
      <c r="AI5" s="269"/>
    </row>
    <row r="6" spans="1:38" ht="12.75" customHeight="1" thickTop="1" x14ac:dyDescent="0.2">
      <c r="A6" s="17" t="str">
        <f>'t1'!A6</f>
        <v>DIRETTORE GENERALE</v>
      </c>
      <c r="B6" s="208" t="str">
        <f>'t1'!B6</f>
        <v>0D0097</v>
      </c>
      <c r="C6" s="188">
        <f>ROUND(AA6,2)</f>
        <v>0</v>
      </c>
      <c r="D6" s="723">
        <f>ROUND(AB6,0)</f>
        <v>0</v>
      </c>
      <c r="E6" s="723">
        <f t="shared" ref="E6:G16" si="0">ROUND(AC6,0)</f>
        <v>0</v>
      </c>
      <c r="F6" s="723">
        <f t="shared" si="0"/>
        <v>0</v>
      </c>
      <c r="G6" s="723">
        <f t="shared" si="0"/>
        <v>0</v>
      </c>
      <c r="H6" s="723">
        <f t="shared" ref="H6:H16" si="1">ROUND(AF6,0)</f>
        <v>0</v>
      </c>
      <c r="I6" s="723">
        <f t="shared" ref="I6:I16" si="2">ROUND(AG6,0)</f>
        <v>0</v>
      </c>
      <c r="J6" s="734">
        <f t="shared" ref="J6:J16" si="3">ROUND(AH6,0)</f>
        <v>0</v>
      </c>
      <c r="K6" s="386">
        <f>(D6+E6+F6+G6+H6+I6)-J6</f>
        <v>0</v>
      </c>
      <c r="L6" s="712">
        <f>'t1'!M6</f>
        <v>0</v>
      </c>
      <c r="M6" s="822" t="s">
        <v>431</v>
      </c>
      <c r="AA6" s="188"/>
      <c r="AB6" s="186"/>
      <c r="AC6" s="186"/>
      <c r="AD6" s="186"/>
      <c r="AE6" s="186"/>
      <c r="AF6" s="186"/>
      <c r="AG6" s="186"/>
      <c r="AH6" s="187"/>
      <c r="AI6" s="386">
        <f>(AB6+AC6+AD6+AE6+AF6+AG6)-AH6</f>
        <v>0</v>
      </c>
      <c r="AJ6" s="712">
        <f>'t1'!AK6</f>
        <v>0</v>
      </c>
    </row>
    <row r="7" spans="1:38" ht="12" customHeight="1" x14ac:dyDescent="0.2">
      <c r="A7" s="135" t="str">
        <f>'t1'!A7</f>
        <v>DIRIGENTE I FASCIA</v>
      </c>
      <c r="B7" s="201" t="str">
        <f>'t1'!B7</f>
        <v>0D0077</v>
      </c>
      <c r="C7" s="188">
        <f t="shared" ref="C7:C16" si="4">ROUND(AA7,2)</f>
        <v>0</v>
      </c>
      <c r="D7" s="723">
        <f t="shared" ref="D7:D16" si="5">ROUND(AB7,0)</f>
        <v>0</v>
      </c>
      <c r="E7" s="723">
        <f t="shared" si="0"/>
        <v>0</v>
      </c>
      <c r="F7" s="723">
        <f t="shared" si="0"/>
        <v>0</v>
      </c>
      <c r="G7" s="723">
        <f t="shared" si="0"/>
        <v>0</v>
      </c>
      <c r="H7" s="723">
        <f t="shared" si="1"/>
        <v>0</v>
      </c>
      <c r="I7" s="723">
        <f t="shared" si="2"/>
        <v>0</v>
      </c>
      <c r="J7" s="734">
        <f t="shared" si="3"/>
        <v>0</v>
      </c>
      <c r="K7" s="386">
        <f t="shared" ref="K7:K21" si="6">(D7+E7+F7+G7+H7+I7)-J7</f>
        <v>0</v>
      </c>
      <c r="L7" s="712">
        <f>'t1'!M7</f>
        <v>0</v>
      </c>
      <c r="M7" s="822" t="s">
        <v>473</v>
      </c>
      <c r="AA7" s="188"/>
      <c r="AB7" s="186"/>
      <c r="AC7" s="186"/>
      <c r="AD7" s="186"/>
      <c r="AE7" s="186"/>
      <c r="AF7" s="186"/>
      <c r="AG7" s="186"/>
      <c r="AH7" s="187"/>
      <c r="AI7" s="386">
        <f>(AB7+AC7+AD7+AE7+AF7+AG7)-AH7</f>
        <v>0</v>
      </c>
      <c r="AJ7" s="386">
        <f>(AC7+AD7+AE7+AF7+AG7+AH7)-AI7</f>
        <v>0</v>
      </c>
      <c r="AK7" s="386">
        <f>(AD7+AE7+AF7+AG7+AH7+AI7)-AJ7</f>
        <v>0</v>
      </c>
    </row>
    <row r="8" spans="1:38" ht="12" customHeight="1" x14ac:dyDescent="0.2">
      <c r="A8" s="135" t="str">
        <f>'t1'!A8</f>
        <v>DIRIGENTE I FASCIA A TEMPO DETERM.</v>
      </c>
      <c r="B8" s="201" t="str">
        <f>'t1'!B8</f>
        <v>0D0078</v>
      </c>
      <c r="C8" s="188">
        <f t="shared" si="4"/>
        <v>0</v>
      </c>
      <c r="D8" s="723">
        <f t="shared" si="5"/>
        <v>0</v>
      </c>
      <c r="E8" s="723">
        <f t="shared" si="0"/>
        <v>0</v>
      </c>
      <c r="F8" s="723">
        <f t="shared" si="0"/>
        <v>0</v>
      </c>
      <c r="G8" s="723">
        <f t="shared" si="0"/>
        <v>0</v>
      </c>
      <c r="H8" s="723">
        <f t="shared" si="1"/>
        <v>0</v>
      </c>
      <c r="I8" s="723">
        <f t="shared" si="2"/>
        <v>0</v>
      </c>
      <c r="J8" s="734">
        <f t="shared" si="3"/>
        <v>0</v>
      </c>
      <c r="K8" s="386">
        <f t="shared" si="6"/>
        <v>0</v>
      </c>
      <c r="L8" s="712">
        <f>'t1'!M8</f>
        <v>0</v>
      </c>
      <c r="M8" s="822" t="s">
        <v>473</v>
      </c>
      <c r="AA8" s="188"/>
      <c r="AB8" s="186"/>
      <c r="AC8" s="186"/>
      <c r="AD8" s="186"/>
      <c r="AE8" s="186"/>
      <c r="AF8" s="186"/>
      <c r="AG8" s="186"/>
      <c r="AH8" s="187"/>
      <c r="AI8" s="386">
        <f t="shared" ref="AI8:AI21" si="7">(AB8+AC8+AD8+AE8+AF8+AG8)-AH8</f>
        <v>0</v>
      </c>
      <c r="AJ8" s="712">
        <f>'t1'!AK8</f>
        <v>0</v>
      </c>
    </row>
    <row r="9" spans="1:38" ht="12" customHeight="1" x14ac:dyDescent="0.2">
      <c r="A9" s="135" t="str">
        <f>'t1'!A9</f>
        <v>DIRIGENTE II FASCIA</v>
      </c>
      <c r="B9" s="201" t="str">
        <f>'t1'!B9</f>
        <v>0D0079</v>
      </c>
      <c r="C9" s="188">
        <f t="shared" si="4"/>
        <v>0</v>
      </c>
      <c r="D9" s="723">
        <f t="shared" si="5"/>
        <v>0</v>
      </c>
      <c r="E9" s="723">
        <f t="shared" si="0"/>
        <v>0</v>
      </c>
      <c r="F9" s="723">
        <f t="shared" si="0"/>
        <v>0</v>
      </c>
      <c r="G9" s="723">
        <f t="shared" si="0"/>
        <v>0</v>
      </c>
      <c r="H9" s="723">
        <f t="shared" si="1"/>
        <v>0</v>
      </c>
      <c r="I9" s="723">
        <f t="shared" si="2"/>
        <v>0</v>
      </c>
      <c r="J9" s="734">
        <f t="shared" si="3"/>
        <v>0</v>
      </c>
      <c r="K9" s="386">
        <f t="shared" si="6"/>
        <v>0</v>
      </c>
      <c r="L9" s="712">
        <f>'t1'!M9</f>
        <v>0</v>
      </c>
      <c r="M9" s="822" t="s">
        <v>456</v>
      </c>
      <c r="AA9" s="188"/>
      <c r="AB9" s="1289"/>
      <c r="AC9" s="186"/>
      <c r="AD9" s="186"/>
      <c r="AE9" s="186"/>
      <c r="AF9" s="186"/>
      <c r="AG9" s="186"/>
      <c r="AH9" s="187"/>
      <c r="AI9" s="386">
        <f t="shared" si="7"/>
        <v>0</v>
      </c>
      <c r="AJ9" s="712">
        <f>'t1'!AK9</f>
        <v>0</v>
      </c>
    </row>
    <row r="10" spans="1:38" ht="12" customHeight="1" x14ac:dyDescent="0.2">
      <c r="A10" s="135" t="str">
        <f>'t1'!A10</f>
        <v>DIRIGENTE II FASCIA A TEMPO DETERM.</v>
      </c>
      <c r="B10" s="201" t="str">
        <f>'t1'!B10</f>
        <v>0D0080</v>
      </c>
      <c r="C10" s="188">
        <f t="shared" si="4"/>
        <v>0</v>
      </c>
      <c r="D10" s="723">
        <f t="shared" si="5"/>
        <v>0</v>
      </c>
      <c r="E10" s="723">
        <f t="shared" si="0"/>
        <v>0</v>
      </c>
      <c r="F10" s="723">
        <f t="shared" si="0"/>
        <v>0</v>
      </c>
      <c r="G10" s="723">
        <f t="shared" si="0"/>
        <v>0</v>
      </c>
      <c r="H10" s="723">
        <f t="shared" si="1"/>
        <v>0</v>
      </c>
      <c r="I10" s="723">
        <f t="shared" si="2"/>
        <v>0</v>
      </c>
      <c r="J10" s="734">
        <f t="shared" si="3"/>
        <v>0</v>
      </c>
      <c r="K10" s="386">
        <f t="shared" si="6"/>
        <v>0</v>
      </c>
      <c r="L10" s="712">
        <f>'t1'!M10</f>
        <v>0</v>
      </c>
      <c r="M10" s="822" t="s">
        <v>456</v>
      </c>
      <c r="AA10" s="188"/>
      <c r="AB10" s="186"/>
      <c r="AC10" s="186"/>
      <c r="AD10" s="186"/>
      <c r="AE10" s="186"/>
      <c r="AF10" s="186"/>
      <c r="AG10" s="186"/>
      <c r="AH10" s="187"/>
      <c r="AI10" s="386">
        <f t="shared" si="7"/>
        <v>0</v>
      </c>
      <c r="AJ10" s="712">
        <f>'t1'!AK10</f>
        <v>0</v>
      </c>
    </row>
    <row r="11" spans="1:38" ht="12" customHeight="1" x14ac:dyDescent="0.2">
      <c r="A11" s="135" t="str">
        <f>'t1'!A11</f>
        <v>MEDICO II FASCIA T.P.</v>
      </c>
      <c r="B11" s="201" t="str">
        <f>'t1'!B11</f>
        <v>0D0584</v>
      </c>
      <c r="C11" s="188">
        <f t="shared" si="4"/>
        <v>0</v>
      </c>
      <c r="D11" s="723">
        <f t="shared" si="5"/>
        <v>0</v>
      </c>
      <c r="E11" s="723">
        <f t="shared" si="0"/>
        <v>0</v>
      </c>
      <c r="F11" s="723">
        <f t="shared" si="0"/>
        <v>0</v>
      </c>
      <c r="G11" s="723">
        <f t="shared" si="0"/>
        <v>0</v>
      </c>
      <c r="H11" s="723">
        <f t="shared" si="1"/>
        <v>0</v>
      </c>
      <c r="I11" s="723">
        <f t="shared" si="2"/>
        <v>0</v>
      </c>
      <c r="J11" s="734">
        <f t="shared" si="3"/>
        <v>0</v>
      </c>
      <c r="K11" s="386">
        <f t="shared" si="6"/>
        <v>0</v>
      </c>
      <c r="L11" s="712">
        <f>'t1'!M11</f>
        <v>0</v>
      </c>
      <c r="M11" s="822" t="s">
        <v>457</v>
      </c>
      <c r="AA11" s="188"/>
      <c r="AB11" s="186"/>
      <c r="AC11" s="186"/>
      <c r="AD11" s="186"/>
      <c r="AE11" s="186"/>
      <c r="AF11" s="186"/>
      <c r="AG11" s="186"/>
      <c r="AH11" s="187"/>
      <c r="AI11" s="386">
        <f t="shared" si="7"/>
        <v>0</v>
      </c>
      <c r="AJ11" s="712">
        <f>'t1'!AK11</f>
        <v>0</v>
      </c>
    </row>
    <row r="12" spans="1:38" ht="12" customHeight="1" x14ac:dyDescent="0.2">
      <c r="A12" s="135" t="str">
        <f>'t1'!A12</f>
        <v>MEDICO I FASCIA T.P.</v>
      </c>
      <c r="B12" s="201" t="str">
        <f>'t1'!B12</f>
        <v>0D0585</v>
      </c>
      <c r="C12" s="188">
        <f t="shared" si="4"/>
        <v>0</v>
      </c>
      <c r="D12" s="723">
        <f t="shared" si="5"/>
        <v>0</v>
      </c>
      <c r="E12" s="723">
        <f t="shared" si="0"/>
        <v>0</v>
      </c>
      <c r="F12" s="723">
        <f t="shared" si="0"/>
        <v>0</v>
      </c>
      <c r="G12" s="723">
        <f t="shared" si="0"/>
        <v>0</v>
      </c>
      <c r="H12" s="723">
        <f t="shared" si="1"/>
        <v>0</v>
      </c>
      <c r="I12" s="723">
        <f t="shared" si="2"/>
        <v>0</v>
      </c>
      <c r="J12" s="734">
        <f t="shared" si="3"/>
        <v>0</v>
      </c>
      <c r="K12" s="386">
        <f t="shared" si="6"/>
        <v>0</v>
      </c>
      <c r="L12" s="712">
        <f>'t1'!M12</f>
        <v>0</v>
      </c>
      <c r="M12" s="822" t="s">
        <v>457</v>
      </c>
      <c r="AA12" s="188"/>
      <c r="AB12" s="186"/>
      <c r="AC12" s="186"/>
      <c r="AD12" s="186"/>
      <c r="AE12" s="186"/>
      <c r="AF12" s="186"/>
      <c r="AG12" s="186"/>
      <c r="AH12" s="187"/>
      <c r="AI12" s="386">
        <f t="shared" si="7"/>
        <v>0</v>
      </c>
      <c r="AJ12" s="712">
        <f>'t1'!AK12</f>
        <v>0</v>
      </c>
    </row>
    <row r="13" spans="1:38" ht="12" customHeight="1" x14ac:dyDescent="0.2">
      <c r="A13" s="135" t="str">
        <f>'t1'!A13</f>
        <v>MEDICO II FASCIA T.D.</v>
      </c>
      <c r="B13" s="201" t="str">
        <f>'t1'!B13</f>
        <v>0D0586</v>
      </c>
      <c r="C13" s="188">
        <f t="shared" si="4"/>
        <v>0</v>
      </c>
      <c r="D13" s="723">
        <f t="shared" si="5"/>
        <v>0</v>
      </c>
      <c r="E13" s="723">
        <f t="shared" si="0"/>
        <v>0</v>
      </c>
      <c r="F13" s="723">
        <f t="shared" si="0"/>
        <v>0</v>
      </c>
      <c r="G13" s="723">
        <f t="shared" si="0"/>
        <v>0</v>
      </c>
      <c r="H13" s="723">
        <f t="shared" si="1"/>
        <v>0</v>
      </c>
      <c r="I13" s="723">
        <f t="shared" si="2"/>
        <v>0</v>
      </c>
      <c r="J13" s="734">
        <f t="shared" si="3"/>
        <v>0</v>
      </c>
      <c r="K13" s="386">
        <f t="shared" si="6"/>
        <v>0</v>
      </c>
      <c r="L13" s="712">
        <f>'t1'!M13</f>
        <v>0</v>
      </c>
      <c r="M13" s="822" t="s">
        <v>457</v>
      </c>
      <c r="AA13" s="188"/>
      <c r="AB13" s="186"/>
      <c r="AC13" s="186"/>
      <c r="AD13" s="186"/>
      <c r="AE13" s="186"/>
      <c r="AF13" s="186"/>
      <c r="AG13" s="186"/>
      <c r="AH13" s="187"/>
      <c r="AI13" s="386">
        <f t="shared" si="7"/>
        <v>0</v>
      </c>
      <c r="AJ13" s="712">
        <f>'t1'!AK13</f>
        <v>0</v>
      </c>
    </row>
    <row r="14" spans="1:38" ht="12" customHeight="1" x14ac:dyDescent="0.2">
      <c r="A14" s="135" t="str">
        <f>'t1'!A14</f>
        <v>MEDICO I FASCIA T.D.</v>
      </c>
      <c r="B14" s="201" t="str">
        <f>'t1'!B14</f>
        <v>0D0496</v>
      </c>
      <c r="C14" s="188">
        <f t="shared" si="4"/>
        <v>0</v>
      </c>
      <c r="D14" s="723">
        <f t="shared" si="5"/>
        <v>0</v>
      </c>
      <c r="E14" s="723">
        <f t="shared" si="0"/>
        <v>0</v>
      </c>
      <c r="F14" s="723">
        <f t="shared" si="0"/>
        <v>0</v>
      </c>
      <c r="G14" s="723">
        <f t="shared" si="0"/>
        <v>0</v>
      </c>
      <c r="H14" s="723">
        <f t="shared" si="1"/>
        <v>0</v>
      </c>
      <c r="I14" s="723">
        <f t="shared" si="2"/>
        <v>0</v>
      </c>
      <c r="J14" s="734">
        <f t="shared" si="3"/>
        <v>0</v>
      </c>
      <c r="K14" s="386">
        <f t="shared" si="6"/>
        <v>0</v>
      </c>
      <c r="L14" s="712">
        <f>'t1'!M14</f>
        <v>0</v>
      </c>
      <c r="M14" s="822" t="s">
        <v>457</v>
      </c>
      <c r="AA14" s="188"/>
      <c r="AB14" s="186"/>
      <c r="AC14" s="186"/>
      <c r="AD14" s="186"/>
      <c r="AE14" s="186"/>
      <c r="AF14" s="186"/>
      <c r="AG14" s="186"/>
      <c r="AH14" s="187"/>
      <c r="AI14" s="386">
        <f t="shared" si="7"/>
        <v>0</v>
      </c>
      <c r="AJ14" s="712">
        <f>'t1'!AK14</f>
        <v>0</v>
      </c>
    </row>
    <row r="15" spans="1:38" ht="12" customHeight="1" x14ac:dyDescent="0.2">
      <c r="A15" s="135" t="str">
        <f>'t1'!A15</f>
        <v>PROFESSIONISTI II LIVELLO</v>
      </c>
      <c r="B15" s="201" t="str">
        <f>'t1'!B15</f>
        <v>0D0PR2</v>
      </c>
      <c r="C15" s="188">
        <f t="shared" si="4"/>
        <v>0</v>
      </c>
      <c r="D15" s="723">
        <f t="shared" si="5"/>
        <v>0</v>
      </c>
      <c r="E15" s="723">
        <f t="shared" si="0"/>
        <v>0</v>
      </c>
      <c r="F15" s="723">
        <f t="shared" si="0"/>
        <v>0</v>
      </c>
      <c r="G15" s="723">
        <f t="shared" si="0"/>
        <v>0</v>
      </c>
      <c r="H15" s="723">
        <f t="shared" si="1"/>
        <v>0</v>
      </c>
      <c r="I15" s="723">
        <f t="shared" si="2"/>
        <v>0</v>
      </c>
      <c r="J15" s="734">
        <f t="shared" si="3"/>
        <v>0</v>
      </c>
      <c r="K15" s="386">
        <f t="shared" si="6"/>
        <v>0</v>
      </c>
      <c r="L15" s="712">
        <f>'t1'!M15</f>
        <v>0</v>
      </c>
      <c r="M15" s="822" t="s">
        <v>458</v>
      </c>
      <c r="AA15" s="188"/>
      <c r="AB15" s="186"/>
      <c r="AC15" s="186"/>
      <c r="AD15" s="186"/>
      <c r="AE15" s="186"/>
      <c r="AF15" s="186"/>
      <c r="AG15" s="186"/>
      <c r="AH15" s="187"/>
      <c r="AI15" s="386">
        <f t="shared" si="7"/>
        <v>0</v>
      </c>
      <c r="AJ15" s="712">
        <f>'t1'!AK15</f>
        <v>0</v>
      </c>
    </row>
    <row r="16" spans="1:38" ht="12" customHeight="1" x14ac:dyDescent="0.2">
      <c r="A16" s="135" t="str">
        <f>'t1'!A16</f>
        <v>PROFESSIONISTI I LIVELLO</v>
      </c>
      <c r="B16" s="201" t="str">
        <f>'t1'!B16</f>
        <v>0D0PR1</v>
      </c>
      <c r="C16" s="188">
        <f t="shared" si="4"/>
        <v>0</v>
      </c>
      <c r="D16" s="723">
        <f t="shared" si="5"/>
        <v>0</v>
      </c>
      <c r="E16" s="723">
        <f t="shared" si="0"/>
        <v>0</v>
      </c>
      <c r="F16" s="723">
        <f t="shared" si="0"/>
        <v>0</v>
      </c>
      <c r="G16" s="723">
        <f t="shared" si="0"/>
        <v>0</v>
      </c>
      <c r="H16" s="723">
        <f t="shared" si="1"/>
        <v>0</v>
      </c>
      <c r="I16" s="723">
        <f t="shared" si="2"/>
        <v>0</v>
      </c>
      <c r="J16" s="734">
        <f t="shared" si="3"/>
        <v>0</v>
      </c>
      <c r="K16" s="386">
        <f t="shared" si="6"/>
        <v>0</v>
      </c>
      <c r="L16" s="712">
        <f>'t1'!M16</f>
        <v>0</v>
      </c>
      <c r="M16" s="822" t="s">
        <v>458</v>
      </c>
      <c r="AA16" s="188"/>
      <c r="AB16" s="186"/>
      <c r="AC16" s="186"/>
      <c r="AD16" s="186"/>
      <c r="AE16" s="186"/>
      <c r="AF16" s="186"/>
      <c r="AG16" s="186"/>
      <c r="AH16" s="187"/>
      <c r="AI16" s="386">
        <f t="shared" si="7"/>
        <v>0</v>
      </c>
      <c r="AJ16" s="712">
        <f>'t1'!AK16</f>
        <v>0</v>
      </c>
    </row>
    <row r="17" spans="1:36" ht="12" customHeight="1" x14ac:dyDescent="0.2">
      <c r="A17" s="135" t="str">
        <f>'t1'!A17</f>
        <v>ELEVATE PROFESSIONALITA'</v>
      </c>
      <c r="B17" s="201" t="str">
        <f>'t1'!B17</f>
        <v>0EP981</v>
      </c>
      <c r="C17" s="188">
        <f>ROUND(AA17,2)</f>
        <v>0</v>
      </c>
      <c r="D17" s="723">
        <f t="shared" ref="D17:E21" si="8">ROUND(AB17,0)</f>
        <v>0</v>
      </c>
      <c r="E17" s="723">
        <f t="shared" si="8"/>
        <v>0</v>
      </c>
      <c r="F17" s="723">
        <f t="shared" ref="F17:G21" si="9">ROUND(AD17,0)</f>
        <v>0</v>
      </c>
      <c r="G17" s="723">
        <f t="shared" si="9"/>
        <v>0</v>
      </c>
      <c r="H17" s="723">
        <f t="shared" ref="H17:J21" si="10">ROUND(AF17,0)</f>
        <v>0</v>
      </c>
      <c r="I17" s="723">
        <f t="shared" si="10"/>
        <v>0</v>
      </c>
      <c r="J17" s="734">
        <f t="shared" si="10"/>
        <v>0</v>
      </c>
      <c r="K17" s="386">
        <f t="shared" si="6"/>
        <v>0</v>
      </c>
      <c r="L17" s="712">
        <f>'t1'!M17</f>
        <v>0</v>
      </c>
      <c r="M17" s="822" t="s">
        <v>458</v>
      </c>
      <c r="AA17" s="188"/>
      <c r="AB17" s="186"/>
      <c r="AC17" s="186"/>
      <c r="AD17" s="186"/>
      <c r="AE17" s="186"/>
      <c r="AF17" s="186"/>
      <c r="AG17" s="186"/>
      <c r="AH17" s="187"/>
      <c r="AI17" s="386">
        <f t="shared" si="7"/>
        <v>0</v>
      </c>
      <c r="AJ17" s="712">
        <f>'t1'!AK17</f>
        <v>0</v>
      </c>
    </row>
    <row r="18" spans="1:36" ht="12" customHeight="1" x14ac:dyDescent="0.2">
      <c r="A18" s="135" t="str">
        <f>'t1'!A18</f>
        <v>FUNZIONARI</v>
      </c>
      <c r="B18" s="201" t="str">
        <f>'t1'!B18</f>
        <v>0FZ000</v>
      </c>
      <c r="C18" s="188">
        <f>ROUND(AA18,2)</f>
        <v>0</v>
      </c>
      <c r="D18" s="723">
        <f t="shared" si="8"/>
        <v>0</v>
      </c>
      <c r="E18" s="723">
        <f t="shared" si="8"/>
        <v>0</v>
      </c>
      <c r="F18" s="723">
        <f t="shared" si="9"/>
        <v>0</v>
      </c>
      <c r="G18" s="723">
        <f t="shared" si="9"/>
        <v>0</v>
      </c>
      <c r="H18" s="723">
        <f t="shared" si="10"/>
        <v>0</v>
      </c>
      <c r="I18" s="723">
        <f t="shared" si="10"/>
        <v>0</v>
      </c>
      <c r="J18" s="734">
        <f t="shared" si="10"/>
        <v>0</v>
      </c>
      <c r="K18" s="386">
        <f t="shared" si="6"/>
        <v>0</v>
      </c>
      <c r="L18" s="712">
        <f>'t1'!M18</f>
        <v>0</v>
      </c>
      <c r="M18" s="822" t="s">
        <v>458</v>
      </c>
      <c r="AA18" s="188"/>
      <c r="AB18" s="186"/>
      <c r="AC18" s="186"/>
      <c r="AD18" s="186"/>
      <c r="AE18" s="186"/>
      <c r="AF18" s="186"/>
      <c r="AG18" s="186"/>
      <c r="AH18" s="187"/>
      <c r="AI18" s="386">
        <f t="shared" si="7"/>
        <v>0</v>
      </c>
      <c r="AJ18" s="712">
        <f>'t1'!AK18</f>
        <v>0</v>
      </c>
    </row>
    <row r="19" spans="1:36" ht="12" customHeight="1" x14ac:dyDescent="0.2">
      <c r="A19" s="135" t="str">
        <f>'t1'!A19</f>
        <v>ASSISTENTI</v>
      </c>
      <c r="B19" s="201" t="str">
        <f>'t1'!B19</f>
        <v>0AS000</v>
      </c>
      <c r="C19" s="188">
        <f>ROUND(AA19,2)</f>
        <v>6.66</v>
      </c>
      <c r="D19" s="723">
        <f t="shared" si="8"/>
        <v>10750</v>
      </c>
      <c r="E19" s="723">
        <f t="shared" si="8"/>
        <v>0</v>
      </c>
      <c r="F19" s="723">
        <f t="shared" si="9"/>
        <v>1342</v>
      </c>
      <c r="G19" s="723">
        <f t="shared" si="9"/>
        <v>0</v>
      </c>
      <c r="H19" s="723">
        <f t="shared" si="10"/>
        <v>1099</v>
      </c>
      <c r="I19" s="723">
        <f t="shared" si="10"/>
        <v>0</v>
      </c>
      <c r="J19" s="734">
        <f t="shared" si="10"/>
        <v>0</v>
      </c>
      <c r="K19" s="386">
        <f t="shared" si="6"/>
        <v>13191</v>
      </c>
      <c r="L19" s="712">
        <f>'t1'!M19</f>
        <v>1</v>
      </c>
      <c r="M19" s="822" t="s">
        <v>458</v>
      </c>
      <c r="AA19" s="188">
        <v>6.66</v>
      </c>
      <c r="AB19" s="186">
        <v>10750</v>
      </c>
      <c r="AC19" s="186"/>
      <c r="AD19" s="186">
        <v>1342</v>
      </c>
      <c r="AE19" s="186"/>
      <c r="AF19" s="186">
        <v>1099</v>
      </c>
      <c r="AG19" s="186"/>
      <c r="AH19" s="187"/>
      <c r="AI19" s="386">
        <f t="shared" si="7"/>
        <v>13191</v>
      </c>
      <c r="AJ19" s="712">
        <f>'t1'!AK19</f>
        <v>1</v>
      </c>
    </row>
    <row r="20" spans="1:36" ht="12" customHeight="1" x14ac:dyDescent="0.2">
      <c r="A20" s="135" t="str">
        <f>'t1'!A20</f>
        <v>OPERATORI</v>
      </c>
      <c r="B20" s="201" t="str">
        <f>'t1'!B20</f>
        <v>0OP000</v>
      </c>
      <c r="C20" s="188">
        <f>ROUND(AA20,2)</f>
        <v>0</v>
      </c>
      <c r="D20" s="723">
        <f t="shared" si="8"/>
        <v>0</v>
      </c>
      <c r="E20" s="723">
        <f t="shared" si="8"/>
        <v>0</v>
      </c>
      <c r="F20" s="723">
        <f t="shared" si="9"/>
        <v>0</v>
      </c>
      <c r="G20" s="723">
        <f t="shared" si="9"/>
        <v>0</v>
      </c>
      <c r="H20" s="723">
        <f t="shared" si="10"/>
        <v>0</v>
      </c>
      <c r="I20" s="723">
        <f t="shared" si="10"/>
        <v>0</v>
      </c>
      <c r="J20" s="734">
        <f t="shared" si="10"/>
        <v>0</v>
      </c>
      <c r="K20" s="386">
        <f t="shared" si="6"/>
        <v>0</v>
      </c>
      <c r="L20" s="712">
        <f>'t1'!M20</f>
        <v>0</v>
      </c>
      <c r="M20" s="822" t="s">
        <v>458</v>
      </c>
      <c r="AA20" s="188"/>
      <c r="AB20" s="186"/>
      <c r="AC20" s="186"/>
      <c r="AD20" s="186"/>
      <c r="AE20" s="186"/>
      <c r="AF20" s="186"/>
      <c r="AG20" s="186"/>
      <c r="AH20" s="187"/>
      <c r="AI20" s="386">
        <f t="shared" si="7"/>
        <v>0</v>
      </c>
      <c r="AJ20" s="712">
        <f>'t1'!AK20</f>
        <v>0</v>
      </c>
    </row>
    <row r="21" spans="1:36" ht="12" customHeight="1" thickBot="1" x14ac:dyDescent="0.25">
      <c r="A21" s="135" t="str">
        <f>'t1'!A21</f>
        <v>CONTRATTISTI</v>
      </c>
      <c r="B21" s="201" t="str">
        <f>'t1'!B21</f>
        <v>000061</v>
      </c>
      <c r="C21" s="188">
        <f>ROUND(AA21,2)</f>
        <v>0</v>
      </c>
      <c r="D21" s="723">
        <f t="shared" si="8"/>
        <v>0</v>
      </c>
      <c r="E21" s="723">
        <f t="shared" si="8"/>
        <v>0</v>
      </c>
      <c r="F21" s="723">
        <f t="shared" si="9"/>
        <v>0</v>
      </c>
      <c r="G21" s="723">
        <f t="shared" si="9"/>
        <v>0</v>
      </c>
      <c r="H21" s="723">
        <f t="shared" si="10"/>
        <v>0</v>
      </c>
      <c r="I21" s="723">
        <f t="shared" si="10"/>
        <v>0</v>
      </c>
      <c r="J21" s="734">
        <f t="shared" si="10"/>
        <v>0</v>
      </c>
      <c r="K21" s="386">
        <f t="shared" si="6"/>
        <v>0</v>
      </c>
      <c r="L21" s="712">
        <f>'t1'!M21</f>
        <v>0</v>
      </c>
      <c r="M21" s="822" t="s">
        <v>458</v>
      </c>
      <c r="AA21" s="188"/>
      <c r="AB21" s="186"/>
      <c r="AC21" s="186"/>
      <c r="AD21" s="186"/>
      <c r="AE21" s="186"/>
      <c r="AF21" s="186"/>
      <c r="AG21" s="186"/>
      <c r="AH21" s="187"/>
      <c r="AI21" s="386">
        <f t="shared" si="7"/>
        <v>0</v>
      </c>
      <c r="AJ21" s="712">
        <f>'t1'!AK21</f>
        <v>0</v>
      </c>
    </row>
    <row r="22" spans="1:36" ht="12" customHeight="1" thickTop="1" thickBot="1" x14ac:dyDescent="0.25">
      <c r="A22" s="107" t="s">
        <v>60</v>
      </c>
      <c r="B22" s="108"/>
      <c r="C22" s="449">
        <f t="shared" ref="C22:K22" si="11">SUM(C6:C21)</f>
        <v>6.66</v>
      </c>
      <c r="D22" s="423">
        <f t="shared" si="11"/>
        <v>10750</v>
      </c>
      <c r="E22" s="423">
        <f t="shared" si="11"/>
        <v>0</v>
      </c>
      <c r="F22" s="423">
        <f t="shared" si="11"/>
        <v>1342</v>
      </c>
      <c r="G22" s="423">
        <f t="shared" si="11"/>
        <v>0</v>
      </c>
      <c r="H22" s="423">
        <f t="shared" si="11"/>
        <v>1099</v>
      </c>
      <c r="I22" s="423">
        <f t="shared" si="11"/>
        <v>0</v>
      </c>
      <c r="J22" s="423">
        <f t="shared" si="11"/>
        <v>0</v>
      </c>
      <c r="K22" s="423">
        <f t="shared" si="11"/>
        <v>13191</v>
      </c>
      <c r="L22" s="606"/>
      <c r="AA22" s="449">
        <f t="shared" ref="AA22:AI22" si="12">SUM(AA6:AA21)</f>
        <v>6.66</v>
      </c>
      <c r="AB22" s="423">
        <f t="shared" si="12"/>
        <v>10750</v>
      </c>
      <c r="AC22" s="423">
        <f t="shared" si="12"/>
        <v>0</v>
      </c>
      <c r="AD22" s="423">
        <f t="shared" si="12"/>
        <v>1342</v>
      </c>
      <c r="AE22" s="423">
        <f t="shared" si="12"/>
        <v>0</v>
      </c>
      <c r="AF22" s="423">
        <f t="shared" si="12"/>
        <v>1099</v>
      </c>
      <c r="AG22" s="423">
        <f t="shared" si="12"/>
        <v>0</v>
      </c>
      <c r="AH22" s="423">
        <f t="shared" si="12"/>
        <v>0</v>
      </c>
      <c r="AI22" s="424">
        <f t="shared" si="12"/>
        <v>13191</v>
      </c>
    </row>
    <row r="23" spans="1:36" s="36" customFormat="1" x14ac:dyDescent="0.2">
      <c r="A23" s="18" t="str">
        <f>'t1'!$A$23</f>
        <v>(a) personale a tempo indeterminato al quale viene applicato un contratto di lavoro di tipo privatistico (es.:tipografico,chimico,edile,metalmeccanico,portierato, ecc.)</v>
      </c>
      <c r="B23" s="2"/>
      <c r="C23" s="3"/>
      <c r="D23" s="3"/>
      <c r="E23" s="3"/>
      <c r="F23" s="3"/>
      <c r="G23" s="3"/>
      <c r="H23" s="3"/>
      <c r="I23" s="3"/>
      <c r="J23" s="3"/>
      <c r="K23" s="3"/>
      <c r="L23" s="3"/>
      <c r="AA23" s="3"/>
      <c r="AB23" s="3"/>
      <c r="AC23" s="3"/>
      <c r="AD23" s="3"/>
      <c r="AE23" s="3"/>
      <c r="AF23" s="3"/>
      <c r="AG23" s="3"/>
      <c r="AH23" s="3"/>
      <c r="AI23" s="3"/>
      <c r="AJ23" s="3"/>
    </row>
    <row r="24" spans="1:36" x14ac:dyDescent="0.2">
      <c r="A24" s="18"/>
    </row>
    <row r="25" spans="1:36" x14ac:dyDescent="0.2">
      <c r="A25" s="3" t="s">
        <v>168</v>
      </c>
    </row>
    <row r="26" spans="1:36" x14ac:dyDescent="0.2">
      <c r="A26" s="3" t="s">
        <v>169</v>
      </c>
    </row>
  </sheetData>
  <sheetProtection algorithmName="SHA-512" hashValue="p33I4d1LI950xCcxMV7TAeW458nNWDBfucFE8fXmIgby/NlIOJu1XDJeJM0U7BorTcjlbKsNuxPO90hxSco0fw==" saltValue="ZB5VG9+tPCWEQC7rzQSIcA==" spinCount="100000" sheet="1" formatColumns="0" selectLockedCells="1"/>
  <mergeCells count="3">
    <mergeCell ref="I2:L2"/>
    <mergeCell ref="AG2:AJ2"/>
    <mergeCell ref="A1:AI1"/>
  </mergeCells>
  <phoneticPr fontId="30" type="noConversion"/>
  <conditionalFormatting sqref="A6:K21 AA6:AI21 AJ7:AK7">
    <cfRule type="expression" dxfId="36" priority="2" stopIfTrue="1">
      <formula>$L6&gt;0</formula>
    </cfRule>
  </conditionalFormatting>
  <dataValidations count="2">
    <dataValidation type="decimal" allowBlank="1" showInputMessage="1" showErrorMessage="1" sqref="C6:C21 AA6:AA21" xr:uid="{00000000-0002-0000-0F00-000000000000}">
      <formula1>0</formula1>
      <formula2>99999999</formula2>
    </dataValidation>
    <dataValidation type="whole" allowBlank="1" showInputMessage="1" showErrorMessage="1" errorTitle="ERRORE NEL DATO IMMESSO" error="INSERIRE SOLO NUMERI INTERI" sqref="AB6:AH21" xr:uid="{00000000-0002-0000-0F00-000001000000}">
      <formula1>1</formula1>
      <formula2>999999999999</formula2>
    </dataValidation>
  </dataValidations>
  <printOptions horizontalCentered="1" verticalCentered="1"/>
  <pageMargins left="0" right="0" top="0.19685039370078741" bottom="0.15748031496062992" header="0.19685039370078741" footer="0.15748031496062992"/>
  <pageSetup paperSize="9" scale="90" orientation="landscape" horizontalDpi="300" verticalDpi="4294967292"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oglio20"/>
  <dimension ref="A1:CA27"/>
  <sheetViews>
    <sheetView showGridLines="0" zoomScaleNormal="100" workbookViewId="0">
      <pane xSplit="2" ySplit="5" topLeftCell="AH6" activePane="bottomRight" state="frozen"/>
      <selection activeCell="C4" sqref="C4:C6"/>
      <selection pane="topRight" activeCell="C4" sqref="C4:C6"/>
      <selection pane="bottomLeft" activeCell="C4" sqref="C4:C6"/>
      <selection pane="bottomRight" activeCell="AE19" sqref="AE19"/>
    </sheetView>
  </sheetViews>
  <sheetFormatPr defaultColWidth="9.33203125" defaultRowHeight="11.25" x14ac:dyDescent="0.2"/>
  <cols>
    <col min="1" max="1" width="43.33203125" style="3" customWidth="1"/>
    <col min="2" max="2" width="8.6640625" style="2" customWidth="1"/>
    <col min="3" max="3" width="11.5" style="3" hidden="1" customWidth="1"/>
    <col min="4" max="4" width="13.1640625" style="3" hidden="1" customWidth="1"/>
    <col min="5" max="5" width="11.5" style="3" hidden="1" customWidth="1"/>
    <col min="6" max="8" width="13.33203125" style="3" hidden="1" customWidth="1"/>
    <col min="9" max="12" width="11.5" style="3" hidden="1" customWidth="1"/>
    <col min="13" max="14" width="12.6640625" style="3" hidden="1" customWidth="1"/>
    <col min="15" max="22" width="11.5" style="3" hidden="1" customWidth="1"/>
    <col min="23" max="26" width="9.33203125" style="3" hidden="1" customWidth="1"/>
    <col min="27" max="27" width="11.5" style="3" customWidth="1"/>
    <col min="28" max="28" width="13.1640625" style="3" customWidth="1"/>
    <col min="29" max="29" width="11.5" style="3" customWidth="1"/>
    <col min="30" max="33" width="13.33203125" style="3" customWidth="1"/>
    <col min="34" max="36" width="11.5" style="3" customWidth="1"/>
    <col min="37" max="38" width="12.6640625" style="3" customWidth="1"/>
    <col min="39" max="46" width="11.5" style="3" customWidth="1"/>
    <col min="47" max="47" width="0" style="3" hidden="1" customWidth="1"/>
    <col min="48" max="78" width="9.33203125" style="3"/>
    <col min="79" max="79" width="9.33203125" style="3" hidden="1" customWidth="1"/>
    <col min="80" max="16384" width="9.33203125" style="3"/>
  </cols>
  <sheetData>
    <row r="1" spans="1:79" ht="36" customHeight="1" x14ac:dyDescent="0.2">
      <c r="A1" s="1447" t="str">
        <f>'t1'!A1</f>
        <v>ENTI PUBBLICI NON ECONOMICI - anno 2024</v>
      </c>
      <c r="B1" s="1447"/>
      <c r="C1" s="1447"/>
      <c r="D1" s="1447"/>
      <c r="E1" s="1447"/>
      <c r="F1" s="1447"/>
      <c r="G1" s="1447"/>
      <c r="H1" s="1447"/>
      <c r="I1" s="1447"/>
      <c r="J1" s="1447"/>
      <c r="K1" s="1447"/>
      <c r="L1" s="1447"/>
      <c r="M1" s="1447"/>
      <c r="N1" s="1447"/>
      <c r="O1" s="1447"/>
      <c r="P1" s="1447"/>
      <c r="Q1" s="1447"/>
      <c r="R1" s="1447"/>
      <c r="S1" s="1447"/>
      <c r="T1" s="1447"/>
      <c r="U1" s="1447"/>
      <c r="V1" s="1447"/>
      <c r="W1" s="1447"/>
      <c r="X1" s="1447"/>
      <c r="Y1" s="1447"/>
      <c r="Z1" s="1447"/>
      <c r="AA1" s="1447"/>
      <c r="AB1" s="1447"/>
      <c r="AC1" s="1447"/>
      <c r="AD1" s="1447"/>
      <c r="AE1" s="1447"/>
      <c r="AF1" s="1447"/>
      <c r="AG1" s="1447"/>
      <c r="AH1" s="1447"/>
      <c r="AI1" s="1447"/>
      <c r="AJ1" s="1447"/>
      <c r="AK1" s="1447"/>
      <c r="AL1" s="1447"/>
      <c r="AM1" s="1447"/>
      <c r="AN1" s="1447"/>
      <c r="AO1" s="1447"/>
      <c r="AP1" s="1447"/>
      <c r="AQ1" s="1447"/>
      <c r="AR1" s="1447"/>
      <c r="AS1" s="1447"/>
      <c r="AT1" s="1447"/>
    </row>
    <row r="2" spans="1:79" ht="27" customHeight="1" thickBot="1" x14ac:dyDescent="0.25">
      <c r="A2" s="5"/>
      <c r="F2" s="96"/>
      <c r="G2" s="96"/>
      <c r="H2" s="96"/>
      <c r="I2" s="96"/>
      <c r="J2" s="96"/>
      <c r="K2" s="96"/>
      <c r="L2" s="96"/>
      <c r="M2" s="96"/>
      <c r="N2" s="96"/>
      <c r="O2" s="96"/>
      <c r="P2" s="96"/>
      <c r="Q2" s="96"/>
      <c r="R2" s="96"/>
      <c r="S2" s="96"/>
      <c r="T2" s="96"/>
      <c r="U2" s="96"/>
      <c r="V2" s="429"/>
      <c r="AD2" s="96"/>
      <c r="AE2" s="96"/>
      <c r="AF2" s="96"/>
      <c r="AG2" s="96"/>
      <c r="AH2" s="96"/>
      <c r="AI2" s="96"/>
      <c r="AJ2" s="96"/>
      <c r="AK2" s="96"/>
      <c r="AL2" s="96"/>
      <c r="AM2" s="96"/>
      <c r="AN2" s="96"/>
      <c r="AO2" s="96"/>
      <c r="AP2" s="96"/>
      <c r="AQ2" s="96"/>
      <c r="AR2" s="96"/>
      <c r="AS2" s="96"/>
      <c r="AT2" s="429"/>
    </row>
    <row r="3" spans="1:79" customFormat="1" ht="13.5" thickBot="1" x14ac:dyDescent="0.25">
      <c r="A3" s="7"/>
      <c r="B3" s="8"/>
      <c r="C3" s="286" t="s">
        <v>240</v>
      </c>
      <c r="D3" s="11"/>
      <c r="E3" s="11"/>
      <c r="F3" s="90"/>
      <c r="G3" s="90"/>
      <c r="H3" s="90"/>
      <c r="I3" s="90"/>
      <c r="J3" s="90"/>
      <c r="K3" s="90"/>
      <c r="L3" s="90"/>
      <c r="M3" s="90"/>
      <c r="N3" s="90"/>
      <c r="O3" s="90"/>
      <c r="P3" s="90"/>
      <c r="Q3" s="90"/>
      <c r="R3" s="90"/>
      <c r="S3" s="90"/>
      <c r="T3" s="90"/>
      <c r="U3" s="90"/>
      <c r="V3" s="94"/>
      <c r="AA3" s="286" t="s">
        <v>240</v>
      </c>
      <c r="AB3" s="11"/>
      <c r="AC3" s="11"/>
      <c r="AD3" s="90"/>
      <c r="AE3" s="90"/>
      <c r="AF3" s="90"/>
      <c r="AG3" s="90"/>
      <c r="AH3" s="90"/>
      <c r="AI3" s="90"/>
      <c r="AJ3" s="90"/>
      <c r="AK3" s="90"/>
      <c r="AL3" s="90"/>
      <c r="AM3" s="90"/>
      <c r="AN3" s="90"/>
      <c r="AO3" s="90"/>
      <c r="AP3" s="90"/>
      <c r="AQ3" s="90"/>
      <c r="AR3" s="90"/>
      <c r="AS3" s="90"/>
      <c r="AT3" s="94"/>
    </row>
    <row r="4" spans="1:79" ht="48" customHeight="1" thickTop="1" x14ac:dyDescent="0.2">
      <c r="A4" s="270" t="s">
        <v>130</v>
      </c>
      <c r="B4" s="271" t="s">
        <v>57</v>
      </c>
      <c r="C4" s="430" t="s">
        <v>433</v>
      </c>
      <c r="D4" s="430" t="s">
        <v>434</v>
      </c>
      <c r="E4" s="430" t="s">
        <v>435</v>
      </c>
      <c r="F4" s="430" t="s">
        <v>436</v>
      </c>
      <c r="G4" s="430" t="s">
        <v>437</v>
      </c>
      <c r="H4" s="748" t="s">
        <v>605</v>
      </c>
      <c r="I4" s="748" t="s">
        <v>513</v>
      </c>
      <c r="J4" s="748" t="s">
        <v>595</v>
      </c>
      <c r="K4" s="431" t="s">
        <v>438</v>
      </c>
      <c r="L4" s="431" t="s">
        <v>439</v>
      </c>
      <c r="M4" s="431" t="s">
        <v>440</v>
      </c>
      <c r="N4" s="431" t="s">
        <v>441</v>
      </c>
      <c r="O4" s="431" t="s">
        <v>442</v>
      </c>
      <c r="P4" s="547" t="s">
        <v>1165</v>
      </c>
      <c r="Q4" s="431" t="s">
        <v>511</v>
      </c>
      <c r="R4" s="431" t="s">
        <v>514</v>
      </c>
      <c r="S4" s="547" t="s">
        <v>285</v>
      </c>
      <c r="T4" s="431" t="s">
        <v>330</v>
      </c>
      <c r="U4" s="547" t="s">
        <v>286</v>
      </c>
      <c r="V4" s="104" t="s">
        <v>141</v>
      </c>
      <c r="AA4" s="430" t="s">
        <v>433</v>
      </c>
      <c r="AB4" s="888" t="s">
        <v>434</v>
      </c>
      <c r="AC4" s="888" t="s">
        <v>435</v>
      </c>
      <c r="AD4" s="888" t="s">
        <v>436</v>
      </c>
      <c r="AE4" s="888" t="s">
        <v>437</v>
      </c>
      <c r="AF4" s="889" t="s">
        <v>605</v>
      </c>
      <c r="AG4" s="889" t="s">
        <v>513</v>
      </c>
      <c r="AH4" s="889" t="s">
        <v>595</v>
      </c>
      <c r="AI4" s="890" t="s">
        <v>438</v>
      </c>
      <c r="AJ4" s="890" t="s">
        <v>439</v>
      </c>
      <c r="AK4" s="890" t="s">
        <v>440</v>
      </c>
      <c r="AL4" s="431" t="s">
        <v>441</v>
      </c>
      <c r="AM4" s="431" t="s">
        <v>442</v>
      </c>
      <c r="AN4" s="547" t="s">
        <v>1165</v>
      </c>
      <c r="AO4" s="431" t="s">
        <v>511</v>
      </c>
      <c r="AP4" s="431" t="s">
        <v>514</v>
      </c>
      <c r="AQ4" s="547" t="s">
        <v>285</v>
      </c>
      <c r="AR4" s="431" t="s">
        <v>330</v>
      </c>
      <c r="AS4" s="547" t="s">
        <v>286</v>
      </c>
      <c r="AT4" s="104" t="s">
        <v>141</v>
      </c>
      <c r="CA4" s="879" t="s">
        <v>914</v>
      </c>
    </row>
    <row r="5" spans="1:79" ht="14.25" customHeight="1" thickBot="1" x14ac:dyDescent="0.25">
      <c r="A5" s="715" t="s">
        <v>593</v>
      </c>
      <c r="B5" s="105"/>
      <c r="C5" s="432" t="s">
        <v>443</v>
      </c>
      <c r="D5" s="432" t="s">
        <v>444</v>
      </c>
      <c r="E5" s="432" t="s">
        <v>445</v>
      </c>
      <c r="F5" s="432" t="s">
        <v>446</v>
      </c>
      <c r="G5" s="432" t="s">
        <v>447</v>
      </c>
      <c r="H5" s="432" t="s">
        <v>604</v>
      </c>
      <c r="I5" s="432" t="s">
        <v>515</v>
      </c>
      <c r="J5" s="432" t="s">
        <v>596</v>
      </c>
      <c r="K5" s="433" t="s">
        <v>448</v>
      </c>
      <c r="L5" s="433" t="s">
        <v>449</v>
      </c>
      <c r="M5" s="433" t="s">
        <v>450</v>
      </c>
      <c r="N5" s="433" t="s">
        <v>451</v>
      </c>
      <c r="O5" s="433" t="s">
        <v>452</v>
      </c>
      <c r="P5" s="433" t="s">
        <v>1164</v>
      </c>
      <c r="Q5" s="433" t="s">
        <v>512</v>
      </c>
      <c r="R5" s="433" t="s">
        <v>516</v>
      </c>
      <c r="S5" s="433" t="s">
        <v>264</v>
      </c>
      <c r="T5" s="433" t="s">
        <v>265</v>
      </c>
      <c r="U5" s="433" t="s">
        <v>266</v>
      </c>
      <c r="V5" s="106" t="s">
        <v>94</v>
      </c>
      <c r="AA5" s="432" t="s">
        <v>443</v>
      </c>
      <c r="AB5" s="891" t="s">
        <v>444</v>
      </c>
      <c r="AC5" s="891" t="s">
        <v>445</v>
      </c>
      <c r="AD5" s="891" t="s">
        <v>446</v>
      </c>
      <c r="AE5" s="891" t="s">
        <v>447</v>
      </c>
      <c r="AF5" s="891" t="s">
        <v>604</v>
      </c>
      <c r="AG5" s="891" t="s">
        <v>515</v>
      </c>
      <c r="AH5" s="891" t="s">
        <v>596</v>
      </c>
      <c r="AI5" s="892" t="s">
        <v>448</v>
      </c>
      <c r="AJ5" s="892" t="s">
        <v>449</v>
      </c>
      <c r="AK5" s="892" t="s">
        <v>450</v>
      </c>
      <c r="AL5" s="433" t="s">
        <v>451</v>
      </c>
      <c r="AM5" s="433" t="s">
        <v>452</v>
      </c>
      <c r="AN5" s="433" t="s">
        <v>1164</v>
      </c>
      <c r="AO5" s="433" t="s">
        <v>512</v>
      </c>
      <c r="AP5" s="433" t="s">
        <v>516</v>
      </c>
      <c r="AQ5" s="433" t="s">
        <v>264</v>
      </c>
      <c r="AR5" s="433" t="s">
        <v>265</v>
      </c>
      <c r="AS5" s="433" t="s">
        <v>266</v>
      </c>
      <c r="AT5" s="106" t="s">
        <v>94</v>
      </c>
    </row>
    <row r="6" spans="1:79" ht="12.75" customHeight="1" thickTop="1" x14ac:dyDescent="0.2">
      <c r="A6" s="17" t="str">
        <f>'t1'!A6</f>
        <v>DIRETTORE GENERALE</v>
      </c>
      <c r="B6" s="208" t="str">
        <f>'t1'!B6</f>
        <v>0D0097</v>
      </c>
      <c r="C6" s="735">
        <f>ROUND(AA6,0)</f>
        <v>0</v>
      </c>
      <c r="D6" s="735">
        <f t="shared" ref="D6:D16" si="0">ROUND(AB6,0)</f>
        <v>0</v>
      </c>
      <c r="E6" s="735">
        <f t="shared" ref="E6:E16" si="1">ROUND(AC6,0)</f>
        <v>0</v>
      </c>
      <c r="F6" s="736">
        <f t="shared" ref="F6:F16" si="2">ROUND(AD6,0)</f>
        <v>0</v>
      </c>
      <c r="G6" s="736">
        <f>ROUND(AE6,0)</f>
        <v>0</v>
      </c>
      <c r="H6" s="736">
        <f>ROUND(AF6,0)</f>
        <v>0</v>
      </c>
      <c r="I6" s="736">
        <f t="shared" ref="I6:I16" si="3">ROUND(AG6,0)</f>
        <v>0</v>
      </c>
      <c r="J6" s="736">
        <f t="shared" ref="J6:J16" si="4">ROUND(AH6,0)</f>
        <v>0</v>
      </c>
      <c r="K6" s="736">
        <f t="shared" ref="K6:K16" si="5">ROUND(AI6,0)</f>
        <v>0</v>
      </c>
      <c r="L6" s="736">
        <f t="shared" ref="L6:L16" si="6">ROUND(AJ6,0)</f>
        <v>0</v>
      </c>
      <c r="M6" s="736">
        <f t="shared" ref="M6:M21" si="7">ROUND(AK6,0)</f>
        <v>0</v>
      </c>
      <c r="N6" s="736">
        <f t="shared" ref="N6:N21" si="8">ROUND(AL6,0)</f>
        <v>0</v>
      </c>
      <c r="O6" s="736">
        <f t="shared" ref="O6:P21" si="9">ROUND(AM6,0)</f>
        <v>0</v>
      </c>
      <c r="P6" s="736">
        <f t="shared" si="9"/>
        <v>0</v>
      </c>
      <c r="Q6" s="736">
        <f t="shared" ref="Q6:Q21" si="10">ROUND(AO6,0)</f>
        <v>0</v>
      </c>
      <c r="R6" s="736">
        <f t="shared" ref="R6:R21" si="11">ROUND(AP6,0)</f>
        <v>0</v>
      </c>
      <c r="S6" s="736">
        <f t="shared" ref="S6:S21" si="12">ROUND(AQ6,0)</f>
        <v>0</v>
      </c>
      <c r="T6" s="736">
        <f t="shared" ref="T6:T21" si="13">ROUND(AR6,0)</f>
        <v>0</v>
      </c>
      <c r="U6" s="736">
        <f t="shared" ref="U6:U21" si="14">ROUND(AS6,0)</f>
        <v>0</v>
      </c>
      <c r="V6" s="426">
        <f t="shared" ref="V6:V21" si="15">SUM(C6:U6)</f>
        <v>0</v>
      </c>
      <c r="W6" s="712">
        <f>'t1'!M6</f>
        <v>0</v>
      </c>
      <c r="AA6" s="189"/>
      <c r="AB6" s="189"/>
      <c r="AC6" s="189"/>
      <c r="AD6" s="190"/>
      <c r="AE6" s="190"/>
      <c r="AF6" s="190"/>
      <c r="AG6" s="190"/>
      <c r="AH6" s="190"/>
      <c r="AI6" s="190"/>
      <c r="AJ6" s="190"/>
      <c r="AK6" s="190"/>
      <c r="AL6" s="190"/>
      <c r="AM6" s="190"/>
      <c r="AN6" s="190"/>
      <c r="AO6" s="190"/>
      <c r="AP6" s="190"/>
      <c r="AQ6" s="190"/>
      <c r="AR6" s="190"/>
      <c r="AS6" s="190"/>
      <c r="AT6" s="426">
        <f t="shared" ref="AT6:AT21" si="16">SUM(AA6:AS6)</f>
        <v>0</v>
      </c>
      <c r="AU6" s="712">
        <f>'t1'!AQ6</f>
        <v>0</v>
      </c>
      <c r="CA6" s="881" t="s">
        <v>431</v>
      </c>
    </row>
    <row r="7" spans="1:79" ht="12.75" customHeight="1" x14ac:dyDescent="0.2">
      <c r="A7" s="135" t="str">
        <f>'t1'!A7</f>
        <v>DIRIGENTE I FASCIA</v>
      </c>
      <c r="B7" s="201" t="str">
        <f>'t1'!B7</f>
        <v>0D0077</v>
      </c>
      <c r="C7" s="735">
        <f t="shared" ref="C7:C16" si="17">ROUND(AA7,0)</f>
        <v>0</v>
      </c>
      <c r="D7" s="735">
        <f>ROUND(AB7,0)</f>
        <v>0</v>
      </c>
      <c r="E7" s="735">
        <f>ROUND(AC7,0)</f>
        <v>0</v>
      </c>
      <c r="F7" s="736">
        <f t="shared" si="2"/>
        <v>0</v>
      </c>
      <c r="G7" s="736">
        <f t="shared" ref="G7:G16" si="18">ROUND(AE7,0)</f>
        <v>0</v>
      </c>
      <c r="H7" s="736">
        <f t="shared" ref="H7:H16" si="19">ROUND(AF7,0)</f>
        <v>0</v>
      </c>
      <c r="I7" s="736">
        <f t="shared" si="3"/>
        <v>0</v>
      </c>
      <c r="J7" s="736">
        <f t="shared" si="4"/>
        <v>0</v>
      </c>
      <c r="K7" s="736">
        <f t="shared" si="5"/>
        <v>0</v>
      </c>
      <c r="L7" s="736">
        <f t="shared" si="6"/>
        <v>0</v>
      </c>
      <c r="M7" s="736">
        <f t="shared" si="7"/>
        <v>0</v>
      </c>
      <c r="N7" s="736">
        <f t="shared" si="8"/>
        <v>0</v>
      </c>
      <c r="O7" s="736">
        <f t="shared" si="9"/>
        <v>0</v>
      </c>
      <c r="P7" s="736">
        <f t="shared" si="9"/>
        <v>0</v>
      </c>
      <c r="Q7" s="736">
        <f t="shared" si="10"/>
        <v>0</v>
      </c>
      <c r="R7" s="736">
        <f t="shared" si="11"/>
        <v>0</v>
      </c>
      <c r="S7" s="736">
        <f t="shared" si="12"/>
        <v>0</v>
      </c>
      <c r="T7" s="736">
        <f t="shared" si="13"/>
        <v>0</v>
      </c>
      <c r="U7" s="736">
        <f t="shared" si="14"/>
        <v>0</v>
      </c>
      <c r="V7" s="426">
        <f t="shared" si="15"/>
        <v>0</v>
      </c>
      <c r="W7" s="712">
        <f>'t1'!M7</f>
        <v>0</v>
      </c>
      <c r="AA7" s="189"/>
      <c r="AB7" s="189"/>
      <c r="AC7" s="189"/>
      <c r="AD7" s="190"/>
      <c r="AE7" s="190"/>
      <c r="AF7" s="190"/>
      <c r="AG7" s="190"/>
      <c r="AH7" s="190"/>
      <c r="AI7" s="190"/>
      <c r="AJ7" s="190"/>
      <c r="AK7" s="190"/>
      <c r="AL7" s="190"/>
      <c r="AM7" s="190"/>
      <c r="AN7" s="190"/>
      <c r="AO7" s="190"/>
      <c r="AP7" s="190"/>
      <c r="AQ7" s="190"/>
      <c r="AR7" s="190"/>
      <c r="AS7" s="190"/>
      <c r="AT7" s="426">
        <f t="shared" si="16"/>
        <v>0</v>
      </c>
      <c r="AU7" s="712">
        <f>'t1'!AQ7</f>
        <v>0</v>
      </c>
      <c r="CA7" s="881" t="s">
        <v>473</v>
      </c>
    </row>
    <row r="8" spans="1:79" ht="12.75" customHeight="1" x14ac:dyDescent="0.2">
      <c r="A8" s="135" t="str">
        <f>'t1'!A8</f>
        <v>DIRIGENTE I FASCIA A TEMPO DETERM.</v>
      </c>
      <c r="B8" s="201" t="str">
        <f>'t1'!B8</f>
        <v>0D0078</v>
      </c>
      <c r="C8" s="735">
        <f t="shared" si="17"/>
        <v>0</v>
      </c>
      <c r="D8" s="735">
        <f t="shared" si="0"/>
        <v>0</v>
      </c>
      <c r="E8" s="735">
        <f t="shared" si="1"/>
        <v>0</v>
      </c>
      <c r="F8" s="736">
        <f t="shared" si="2"/>
        <v>0</v>
      </c>
      <c r="G8" s="736">
        <f t="shared" si="18"/>
        <v>0</v>
      </c>
      <c r="H8" s="736">
        <f t="shared" si="19"/>
        <v>0</v>
      </c>
      <c r="I8" s="736">
        <f t="shared" si="3"/>
        <v>0</v>
      </c>
      <c r="J8" s="736">
        <f t="shared" si="4"/>
        <v>0</v>
      </c>
      <c r="K8" s="736">
        <f t="shared" si="5"/>
        <v>0</v>
      </c>
      <c r="L8" s="736">
        <f t="shared" si="6"/>
        <v>0</v>
      </c>
      <c r="M8" s="736">
        <f t="shared" si="7"/>
        <v>0</v>
      </c>
      <c r="N8" s="736">
        <f t="shared" si="8"/>
        <v>0</v>
      </c>
      <c r="O8" s="736">
        <f t="shared" si="9"/>
        <v>0</v>
      </c>
      <c r="P8" s="736">
        <f t="shared" si="9"/>
        <v>0</v>
      </c>
      <c r="Q8" s="736">
        <f t="shared" si="10"/>
        <v>0</v>
      </c>
      <c r="R8" s="736">
        <f t="shared" si="11"/>
        <v>0</v>
      </c>
      <c r="S8" s="736">
        <f t="shared" si="12"/>
        <v>0</v>
      </c>
      <c r="T8" s="736">
        <f t="shared" si="13"/>
        <v>0</v>
      </c>
      <c r="U8" s="736">
        <f t="shared" si="14"/>
        <v>0</v>
      </c>
      <c r="V8" s="426">
        <f t="shared" si="15"/>
        <v>0</v>
      </c>
      <c r="W8" s="712">
        <f>'t1'!M8</f>
        <v>0</v>
      </c>
      <c r="AA8" s="189"/>
      <c r="AB8" s="189"/>
      <c r="AC8" s="189"/>
      <c r="AD8" s="190"/>
      <c r="AE8" s="190"/>
      <c r="AF8" s="190"/>
      <c r="AG8" s="190"/>
      <c r="AH8" s="190"/>
      <c r="AI8" s="190"/>
      <c r="AJ8" s="190"/>
      <c r="AK8" s="190"/>
      <c r="AL8" s="190"/>
      <c r="AM8" s="190"/>
      <c r="AN8" s="190"/>
      <c r="AO8" s="190"/>
      <c r="AP8" s="190"/>
      <c r="AQ8" s="190"/>
      <c r="AR8" s="190"/>
      <c r="AS8" s="190"/>
      <c r="AT8" s="426">
        <f t="shared" si="16"/>
        <v>0</v>
      </c>
      <c r="AU8" s="712">
        <f>'t1'!AQ8</f>
        <v>0</v>
      </c>
      <c r="CA8" s="881" t="s">
        <v>473</v>
      </c>
    </row>
    <row r="9" spans="1:79" ht="12.75" customHeight="1" x14ac:dyDescent="0.2">
      <c r="A9" s="135" t="str">
        <f>'t1'!A9</f>
        <v>DIRIGENTE II FASCIA</v>
      </c>
      <c r="B9" s="201" t="str">
        <f>'t1'!B9</f>
        <v>0D0079</v>
      </c>
      <c r="C9" s="735">
        <f t="shared" si="17"/>
        <v>0</v>
      </c>
      <c r="D9" s="735">
        <f>ROUND(AB9,0)</f>
        <v>0</v>
      </c>
      <c r="E9" s="735">
        <f>ROUND(AC9,0)</f>
        <v>0</v>
      </c>
      <c r="F9" s="736">
        <f t="shared" si="2"/>
        <v>0</v>
      </c>
      <c r="G9" s="736">
        <f t="shared" si="18"/>
        <v>0</v>
      </c>
      <c r="H9" s="736">
        <f t="shared" si="19"/>
        <v>0</v>
      </c>
      <c r="I9" s="736">
        <f t="shared" si="3"/>
        <v>0</v>
      </c>
      <c r="J9" s="736">
        <f t="shared" si="4"/>
        <v>0</v>
      </c>
      <c r="K9" s="736">
        <f t="shared" si="5"/>
        <v>0</v>
      </c>
      <c r="L9" s="736">
        <f t="shared" si="6"/>
        <v>0</v>
      </c>
      <c r="M9" s="736">
        <f t="shared" si="7"/>
        <v>0</v>
      </c>
      <c r="N9" s="736">
        <f t="shared" si="8"/>
        <v>0</v>
      </c>
      <c r="O9" s="736">
        <f t="shared" si="9"/>
        <v>0</v>
      </c>
      <c r="P9" s="736">
        <f t="shared" si="9"/>
        <v>0</v>
      </c>
      <c r="Q9" s="736">
        <f t="shared" si="10"/>
        <v>0</v>
      </c>
      <c r="R9" s="736">
        <f t="shared" si="11"/>
        <v>0</v>
      </c>
      <c r="S9" s="736">
        <f t="shared" si="12"/>
        <v>0</v>
      </c>
      <c r="T9" s="736">
        <f t="shared" si="13"/>
        <v>0</v>
      </c>
      <c r="U9" s="736">
        <f t="shared" si="14"/>
        <v>0</v>
      </c>
      <c r="V9" s="426">
        <f t="shared" si="15"/>
        <v>0</v>
      </c>
      <c r="W9" s="712">
        <f>'t1'!M9</f>
        <v>0</v>
      </c>
      <c r="AA9" s="189"/>
      <c r="AB9" s="189"/>
      <c r="AC9" s="189"/>
      <c r="AD9" s="190"/>
      <c r="AE9" s="190"/>
      <c r="AF9" s="190"/>
      <c r="AG9" s="190"/>
      <c r="AH9" s="190"/>
      <c r="AI9" s="190"/>
      <c r="AJ9" s="190"/>
      <c r="AK9" s="190"/>
      <c r="AL9" s="190"/>
      <c r="AM9" s="190"/>
      <c r="AN9" s="190"/>
      <c r="AO9" s="190"/>
      <c r="AP9" s="190"/>
      <c r="AQ9" s="190"/>
      <c r="AR9" s="190"/>
      <c r="AS9" s="190"/>
      <c r="AT9" s="426">
        <f t="shared" si="16"/>
        <v>0</v>
      </c>
      <c r="AU9" s="712">
        <f>'t1'!AQ9</f>
        <v>0</v>
      </c>
      <c r="CA9" s="881" t="s">
        <v>456</v>
      </c>
    </row>
    <row r="10" spans="1:79" ht="12.75" customHeight="1" x14ac:dyDescent="0.2">
      <c r="A10" s="135" t="str">
        <f>'t1'!A10</f>
        <v>DIRIGENTE II FASCIA A TEMPO DETERM.</v>
      </c>
      <c r="B10" s="201" t="str">
        <f>'t1'!B10</f>
        <v>0D0080</v>
      </c>
      <c r="C10" s="735">
        <f t="shared" si="17"/>
        <v>0</v>
      </c>
      <c r="D10" s="735">
        <f t="shared" si="0"/>
        <v>0</v>
      </c>
      <c r="E10" s="735">
        <f t="shared" si="1"/>
        <v>0</v>
      </c>
      <c r="F10" s="736">
        <f t="shared" si="2"/>
        <v>0</v>
      </c>
      <c r="G10" s="736">
        <f t="shared" si="18"/>
        <v>0</v>
      </c>
      <c r="H10" s="736">
        <f t="shared" si="19"/>
        <v>0</v>
      </c>
      <c r="I10" s="736">
        <f t="shared" si="3"/>
        <v>0</v>
      </c>
      <c r="J10" s="736">
        <f t="shared" si="4"/>
        <v>0</v>
      </c>
      <c r="K10" s="736">
        <f t="shared" si="5"/>
        <v>0</v>
      </c>
      <c r="L10" s="736">
        <f t="shared" si="6"/>
        <v>0</v>
      </c>
      <c r="M10" s="736">
        <f t="shared" si="7"/>
        <v>0</v>
      </c>
      <c r="N10" s="736">
        <f t="shared" si="8"/>
        <v>0</v>
      </c>
      <c r="O10" s="736">
        <f t="shared" si="9"/>
        <v>0</v>
      </c>
      <c r="P10" s="736">
        <f t="shared" si="9"/>
        <v>0</v>
      </c>
      <c r="Q10" s="736">
        <f t="shared" si="10"/>
        <v>0</v>
      </c>
      <c r="R10" s="736">
        <f t="shared" si="11"/>
        <v>0</v>
      </c>
      <c r="S10" s="736">
        <f t="shared" si="12"/>
        <v>0</v>
      </c>
      <c r="T10" s="736">
        <f t="shared" si="13"/>
        <v>0</v>
      </c>
      <c r="U10" s="736">
        <f t="shared" si="14"/>
        <v>0</v>
      </c>
      <c r="V10" s="426">
        <f t="shared" si="15"/>
        <v>0</v>
      </c>
      <c r="W10" s="712">
        <f>'t1'!M10</f>
        <v>0</v>
      </c>
      <c r="AA10" s="189"/>
      <c r="AB10" s="189"/>
      <c r="AC10" s="189"/>
      <c r="AD10" s="190"/>
      <c r="AE10" s="190"/>
      <c r="AF10" s="190"/>
      <c r="AG10" s="190"/>
      <c r="AH10" s="190"/>
      <c r="AI10" s="190"/>
      <c r="AJ10" s="190"/>
      <c r="AK10" s="190"/>
      <c r="AL10" s="190"/>
      <c r="AM10" s="190"/>
      <c r="AN10" s="190"/>
      <c r="AO10" s="190"/>
      <c r="AP10" s="190"/>
      <c r="AQ10" s="190"/>
      <c r="AR10" s="190"/>
      <c r="AS10" s="190"/>
      <c r="AT10" s="426">
        <f t="shared" si="16"/>
        <v>0</v>
      </c>
      <c r="AU10" s="712">
        <f>'t1'!AQ10</f>
        <v>0</v>
      </c>
      <c r="CA10" s="881" t="s">
        <v>456</v>
      </c>
    </row>
    <row r="11" spans="1:79" ht="12.75" customHeight="1" x14ac:dyDescent="0.2">
      <c r="A11" s="135" t="str">
        <f>'t1'!A11</f>
        <v>MEDICO II FASCIA T.P.</v>
      </c>
      <c r="B11" s="201" t="str">
        <f>'t1'!B11</f>
        <v>0D0584</v>
      </c>
      <c r="C11" s="735">
        <f t="shared" si="17"/>
        <v>0</v>
      </c>
      <c r="D11" s="735">
        <f t="shared" si="0"/>
        <v>0</v>
      </c>
      <c r="E11" s="735">
        <f t="shared" si="1"/>
        <v>0</v>
      </c>
      <c r="F11" s="736">
        <f t="shared" si="2"/>
        <v>0</v>
      </c>
      <c r="G11" s="736">
        <f t="shared" si="18"/>
        <v>0</v>
      </c>
      <c r="H11" s="736">
        <f t="shared" si="19"/>
        <v>0</v>
      </c>
      <c r="I11" s="736">
        <f t="shared" si="3"/>
        <v>0</v>
      </c>
      <c r="J11" s="736">
        <f t="shared" si="4"/>
        <v>0</v>
      </c>
      <c r="K11" s="736">
        <f t="shared" si="5"/>
        <v>0</v>
      </c>
      <c r="L11" s="736">
        <f t="shared" si="6"/>
        <v>0</v>
      </c>
      <c r="M11" s="736">
        <f t="shared" si="7"/>
        <v>0</v>
      </c>
      <c r="N11" s="736">
        <f t="shared" si="8"/>
        <v>0</v>
      </c>
      <c r="O11" s="736">
        <f t="shared" si="9"/>
        <v>0</v>
      </c>
      <c r="P11" s="736">
        <f t="shared" si="9"/>
        <v>0</v>
      </c>
      <c r="Q11" s="736">
        <f t="shared" si="10"/>
        <v>0</v>
      </c>
      <c r="R11" s="736">
        <f t="shared" si="11"/>
        <v>0</v>
      </c>
      <c r="S11" s="736">
        <f t="shared" si="12"/>
        <v>0</v>
      </c>
      <c r="T11" s="736">
        <f t="shared" si="13"/>
        <v>0</v>
      </c>
      <c r="U11" s="736">
        <f t="shared" si="14"/>
        <v>0</v>
      </c>
      <c r="V11" s="426">
        <f t="shared" si="15"/>
        <v>0</v>
      </c>
      <c r="W11" s="712">
        <f>'t1'!M11</f>
        <v>0</v>
      </c>
      <c r="AA11" s="189"/>
      <c r="AB11" s="189"/>
      <c r="AC11" s="189"/>
      <c r="AD11" s="190"/>
      <c r="AE11" s="190"/>
      <c r="AF11" s="190"/>
      <c r="AG11" s="190"/>
      <c r="AH11" s="190"/>
      <c r="AI11" s="190"/>
      <c r="AJ11" s="190"/>
      <c r="AK11" s="190"/>
      <c r="AL11" s="190"/>
      <c r="AM11" s="190"/>
      <c r="AN11" s="190"/>
      <c r="AO11" s="190"/>
      <c r="AP11" s="190"/>
      <c r="AQ11" s="190"/>
      <c r="AR11" s="190"/>
      <c r="AS11" s="190"/>
      <c r="AT11" s="426">
        <f t="shared" si="16"/>
        <v>0</v>
      </c>
      <c r="AU11" s="712">
        <f>'t1'!AQ11</f>
        <v>0</v>
      </c>
      <c r="CA11" s="881" t="s">
        <v>457</v>
      </c>
    </row>
    <row r="12" spans="1:79" ht="12.75" customHeight="1" x14ac:dyDescent="0.2">
      <c r="A12" s="135" t="str">
        <f>'t1'!A12</f>
        <v>MEDICO I FASCIA T.P.</v>
      </c>
      <c r="B12" s="201" t="str">
        <f>'t1'!B12</f>
        <v>0D0585</v>
      </c>
      <c r="C12" s="735">
        <f t="shared" si="17"/>
        <v>0</v>
      </c>
      <c r="D12" s="735">
        <f t="shared" si="0"/>
        <v>0</v>
      </c>
      <c r="E12" s="735">
        <f t="shared" si="1"/>
        <v>0</v>
      </c>
      <c r="F12" s="736">
        <f t="shared" si="2"/>
        <v>0</v>
      </c>
      <c r="G12" s="736">
        <f t="shared" si="18"/>
        <v>0</v>
      </c>
      <c r="H12" s="736">
        <f t="shared" si="19"/>
        <v>0</v>
      </c>
      <c r="I12" s="736">
        <f t="shared" si="3"/>
        <v>0</v>
      </c>
      <c r="J12" s="736">
        <f t="shared" si="4"/>
        <v>0</v>
      </c>
      <c r="K12" s="736">
        <f t="shared" si="5"/>
        <v>0</v>
      </c>
      <c r="L12" s="736">
        <f t="shared" si="6"/>
        <v>0</v>
      </c>
      <c r="M12" s="736">
        <f t="shared" si="7"/>
        <v>0</v>
      </c>
      <c r="N12" s="736">
        <f t="shared" si="8"/>
        <v>0</v>
      </c>
      <c r="O12" s="736">
        <f t="shared" si="9"/>
        <v>0</v>
      </c>
      <c r="P12" s="736">
        <f t="shared" si="9"/>
        <v>0</v>
      </c>
      <c r="Q12" s="736">
        <f t="shared" si="10"/>
        <v>0</v>
      </c>
      <c r="R12" s="736">
        <f t="shared" si="11"/>
        <v>0</v>
      </c>
      <c r="S12" s="736">
        <f t="shared" si="12"/>
        <v>0</v>
      </c>
      <c r="T12" s="736">
        <f t="shared" si="13"/>
        <v>0</v>
      </c>
      <c r="U12" s="736">
        <f t="shared" si="14"/>
        <v>0</v>
      </c>
      <c r="V12" s="426">
        <f t="shared" si="15"/>
        <v>0</v>
      </c>
      <c r="W12" s="712">
        <f>'t1'!M12</f>
        <v>0</v>
      </c>
      <c r="AA12" s="189"/>
      <c r="AB12" s="189"/>
      <c r="AC12" s="189"/>
      <c r="AD12" s="190"/>
      <c r="AE12" s="190"/>
      <c r="AF12" s="190"/>
      <c r="AG12" s="190"/>
      <c r="AH12" s="190"/>
      <c r="AI12" s="190"/>
      <c r="AJ12" s="190"/>
      <c r="AK12" s="190"/>
      <c r="AL12" s="190"/>
      <c r="AM12" s="190"/>
      <c r="AN12" s="190"/>
      <c r="AO12" s="190"/>
      <c r="AP12" s="190"/>
      <c r="AQ12" s="190"/>
      <c r="AR12" s="190"/>
      <c r="AS12" s="190"/>
      <c r="AT12" s="426">
        <f t="shared" si="16"/>
        <v>0</v>
      </c>
      <c r="AU12" s="712">
        <f>'t1'!AQ12</f>
        <v>0</v>
      </c>
      <c r="CA12" s="881" t="s">
        <v>457</v>
      </c>
    </row>
    <row r="13" spans="1:79" ht="12.75" customHeight="1" x14ac:dyDescent="0.2">
      <c r="A13" s="135" t="str">
        <f>'t1'!A13</f>
        <v>MEDICO II FASCIA T.D.</v>
      </c>
      <c r="B13" s="201" t="str">
        <f>'t1'!B13</f>
        <v>0D0586</v>
      </c>
      <c r="C13" s="735">
        <f t="shared" si="17"/>
        <v>0</v>
      </c>
      <c r="D13" s="735">
        <f t="shared" si="0"/>
        <v>0</v>
      </c>
      <c r="E13" s="735">
        <f t="shared" si="1"/>
        <v>0</v>
      </c>
      <c r="F13" s="736">
        <f t="shared" si="2"/>
        <v>0</v>
      </c>
      <c r="G13" s="736">
        <f t="shared" si="18"/>
        <v>0</v>
      </c>
      <c r="H13" s="736">
        <f t="shared" si="19"/>
        <v>0</v>
      </c>
      <c r="I13" s="736">
        <f t="shared" si="3"/>
        <v>0</v>
      </c>
      <c r="J13" s="736">
        <f t="shared" si="4"/>
        <v>0</v>
      </c>
      <c r="K13" s="736">
        <f t="shared" si="5"/>
        <v>0</v>
      </c>
      <c r="L13" s="736">
        <f t="shared" si="6"/>
        <v>0</v>
      </c>
      <c r="M13" s="736">
        <f t="shared" si="7"/>
        <v>0</v>
      </c>
      <c r="N13" s="736">
        <f t="shared" si="8"/>
        <v>0</v>
      </c>
      <c r="O13" s="736">
        <f t="shared" si="9"/>
        <v>0</v>
      </c>
      <c r="P13" s="736">
        <f t="shared" si="9"/>
        <v>0</v>
      </c>
      <c r="Q13" s="736">
        <f t="shared" si="10"/>
        <v>0</v>
      </c>
      <c r="R13" s="736">
        <f t="shared" si="11"/>
        <v>0</v>
      </c>
      <c r="S13" s="736">
        <f t="shared" si="12"/>
        <v>0</v>
      </c>
      <c r="T13" s="736">
        <f t="shared" si="13"/>
        <v>0</v>
      </c>
      <c r="U13" s="736">
        <f t="shared" si="14"/>
        <v>0</v>
      </c>
      <c r="V13" s="426">
        <f t="shared" si="15"/>
        <v>0</v>
      </c>
      <c r="W13" s="712">
        <f>'t1'!M13</f>
        <v>0</v>
      </c>
      <c r="AA13" s="189"/>
      <c r="AB13" s="189"/>
      <c r="AC13" s="189"/>
      <c r="AD13" s="190"/>
      <c r="AE13" s="190"/>
      <c r="AF13" s="190"/>
      <c r="AG13" s="190"/>
      <c r="AH13" s="190"/>
      <c r="AI13" s="190"/>
      <c r="AJ13" s="190"/>
      <c r="AK13" s="190"/>
      <c r="AL13" s="190"/>
      <c r="AM13" s="190"/>
      <c r="AN13" s="190"/>
      <c r="AO13" s="190"/>
      <c r="AP13" s="190"/>
      <c r="AQ13" s="190"/>
      <c r="AR13" s="190"/>
      <c r="AS13" s="190"/>
      <c r="AT13" s="426">
        <f t="shared" si="16"/>
        <v>0</v>
      </c>
      <c r="AU13" s="712">
        <f>'t1'!AQ13</f>
        <v>0</v>
      </c>
      <c r="CA13" s="881" t="s">
        <v>457</v>
      </c>
    </row>
    <row r="14" spans="1:79" ht="12.75" customHeight="1" x14ac:dyDescent="0.2">
      <c r="A14" s="135" t="str">
        <f>'t1'!A14</f>
        <v>MEDICO I FASCIA T.D.</v>
      </c>
      <c r="B14" s="201" t="str">
        <f>'t1'!B14</f>
        <v>0D0496</v>
      </c>
      <c r="C14" s="735">
        <f t="shared" si="17"/>
        <v>0</v>
      </c>
      <c r="D14" s="735">
        <f t="shared" si="0"/>
        <v>0</v>
      </c>
      <c r="E14" s="735">
        <f t="shared" si="1"/>
        <v>0</v>
      </c>
      <c r="F14" s="736">
        <f t="shared" si="2"/>
        <v>0</v>
      </c>
      <c r="G14" s="736">
        <f t="shared" si="18"/>
        <v>0</v>
      </c>
      <c r="H14" s="736">
        <f t="shared" si="19"/>
        <v>0</v>
      </c>
      <c r="I14" s="736">
        <f t="shared" si="3"/>
        <v>0</v>
      </c>
      <c r="J14" s="736">
        <f t="shared" si="4"/>
        <v>0</v>
      </c>
      <c r="K14" s="736">
        <f t="shared" si="5"/>
        <v>0</v>
      </c>
      <c r="L14" s="736">
        <f t="shared" si="6"/>
        <v>0</v>
      </c>
      <c r="M14" s="736">
        <f t="shared" si="7"/>
        <v>0</v>
      </c>
      <c r="N14" s="736">
        <f t="shared" si="8"/>
        <v>0</v>
      </c>
      <c r="O14" s="736">
        <f t="shared" si="9"/>
        <v>0</v>
      </c>
      <c r="P14" s="736">
        <f t="shared" si="9"/>
        <v>0</v>
      </c>
      <c r="Q14" s="736">
        <f t="shared" si="10"/>
        <v>0</v>
      </c>
      <c r="R14" s="736">
        <f t="shared" si="11"/>
        <v>0</v>
      </c>
      <c r="S14" s="736">
        <f t="shared" si="12"/>
        <v>0</v>
      </c>
      <c r="T14" s="736">
        <f t="shared" si="13"/>
        <v>0</v>
      </c>
      <c r="U14" s="736">
        <f t="shared" si="14"/>
        <v>0</v>
      </c>
      <c r="V14" s="426">
        <f t="shared" si="15"/>
        <v>0</v>
      </c>
      <c r="W14" s="712">
        <f>'t1'!M14</f>
        <v>0</v>
      </c>
      <c r="AA14" s="189"/>
      <c r="AB14" s="189"/>
      <c r="AC14" s="189"/>
      <c r="AD14" s="190"/>
      <c r="AE14" s="190"/>
      <c r="AF14" s="190"/>
      <c r="AG14" s="190"/>
      <c r="AH14" s="190"/>
      <c r="AI14" s="190"/>
      <c r="AJ14" s="190"/>
      <c r="AK14" s="190"/>
      <c r="AL14" s="190"/>
      <c r="AM14" s="190"/>
      <c r="AN14" s="190"/>
      <c r="AO14" s="190"/>
      <c r="AP14" s="190"/>
      <c r="AQ14" s="190"/>
      <c r="AR14" s="190"/>
      <c r="AS14" s="190"/>
      <c r="AT14" s="426">
        <f t="shared" si="16"/>
        <v>0</v>
      </c>
      <c r="AU14" s="712">
        <f>'t1'!AQ14</f>
        <v>0</v>
      </c>
      <c r="CA14" s="881" t="s">
        <v>457</v>
      </c>
    </row>
    <row r="15" spans="1:79" ht="12.75" customHeight="1" x14ac:dyDescent="0.2">
      <c r="A15" s="135" t="str">
        <f>'t1'!A15</f>
        <v>PROFESSIONISTI II LIVELLO</v>
      </c>
      <c r="B15" s="201" t="str">
        <f>'t1'!B15</f>
        <v>0D0PR2</v>
      </c>
      <c r="C15" s="735">
        <f t="shared" si="17"/>
        <v>0</v>
      </c>
      <c r="D15" s="735">
        <f t="shared" si="0"/>
        <v>0</v>
      </c>
      <c r="E15" s="735">
        <f t="shared" si="1"/>
        <v>0</v>
      </c>
      <c r="F15" s="736">
        <f t="shared" si="2"/>
        <v>0</v>
      </c>
      <c r="G15" s="736">
        <f t="shared" si="18"/>
        <v>0</v>
      </c>
      <c r="H15" s="736">
        <f t="shared" si="19"/>
        <v>0</v>
      </c>
      <c r="I15" s="736">
        <f t="shared" si="3"/>
        <v>0</v>
      </c>
      <c r="J15" s="736">
        <f t="shared" si="4"/>
        <v>0</v>
      </c>
      <c r="K15" s="736">
        <f t="shared" si="5"/>
        <v>0</v>
      </c>
      <c r="L15" s="736">
        <f t="shared" si="6"/>
        <v>0</v>
      </c>
      <c r="M15" s="736">
        <f t="shared" si="7"/>
        <v>0</v>
      </c>
      <c r="N15" s="736">
        <f t="shared" si="8"/>
        <v>0</v>
      </c>
      <c r="O15" s="736">
        <f t="shared" si="9"/>
        <v>0</v>
      </c>
      <c r="P15" s="736">
        <f t="shared" si="9"/>
        <v>0</v>
      </c>
      <c r="Q15" s="736">
        <f t="shared" si="10"/>
        <v>0</v>
      </c>
      <c r="R15" s="736">
        <f t="shared" si="11"/>
        <v>0</v>
      </c>
      <c r="S15" s="736">
        <f t="shared" si="12"/>
        <v>0</v>
      </c>
      <c r="T15" s="736">
        <f t="shared" si="13"/>
        <v>0</v>
      </c>
      <c r="U15" s="736">
        <f t="shared" si="14"/>
        <v>0</v>
      </c>
      <c r="V15" s="426">
        <f t="shared" si="15"/>
        <v>0</v>
      </c>
      <c r="W15" s="712">
        <f>'t1'!M15</f>
        <v>0</v>
      </c>
      <c r="AA15" s="189"/>
      <c r="AB15" s="189"/>
      <c r="AC15" s="189"/>
      <c r="AD15" s="190"/>
      <c r="AE15" s="190"/>
      <c r="AF15" s="190"/>
      <c r="AG15" s="190"/>
      <c r="AH15" s="190"/>
      <c r="AI15" s="190"/>
      <c r="AJ15" s="190"/>
      <c r="AK15" s="190"/>
      <c r="AL15" s="190"/>
      <c r="AM15" s="190"/>
      <c r="AN15" s="190"/>
      <c r="AO15" s="190"/>
      <c r="AP15" s="190"/>
      <c r="AQ15" s="190"/>
      <c r="AR15" s="190"/>
      <c r="AS15" s="190"/>
      <c r="AT15" s="426">
        <f t="shared" si="16"/>
        <v>0</v>
      </c>
      <c r="AU15" s="712">
        <f>'t1'!AQ15</f>
        <v>0</v>
      </c>
      <c r="CA15" s="881" t="s">
        <v>458</v>
      </c>
    </row>
    <row r="16" spans="1:79" ht="12.75" customHeight="1" x14ac:dyDescent="0.2">
      <c r="A16" s="135" t="str">
        <f>'t1'!A16</f>
        <v>PROFESSIONISTI I LIVELLO</v>
      </c>
      <c r="B16" s="201" t="str">
        <f>'t1'!B16</f>
        <v>0D0PR1</v>
      </c>
      <c r="C16" s="735">
        <f t="shared" si="17"/>
        <v>0</v>
      </c>
      <c r="D16" s="735">
        <f t="shared" si="0"/>
        <v>0</v>
      </c>
      <c r="E16" s="735">
        <f t="shared" si="1"/>
        <v>0</v>
      </c>
      <c r="F16" s="736">
        <f t="shared" si="2"/>
        <v>0</v>
      </c>
      <c r="G16" s="736">
        <f t="shared" si="18"/>
        <v>0</v>
      </c>
      <c r="H16" s="736">
        <f t="shared" si="19"/>
        <v>0</v>
      </c>
      <c r="I16" s="736">
        <f t="shared" si="3"/>
        <v>0</v>
      </c>
      <c r="J16" s="736">
        <f t="shared" si="4"/>
        <v>0</v>
      </c>
      <c r="K16" s="736">
        <f t="shared" si="5"/>
        <v>0</v>
      </c>
      <c r="L16" s="736">
        <f t="shared" si="6"/>
        <v>0</v>
      </c>
      <c r="M16" s="736">
        <f t="shared" si="7"/>
        <v>0</v>
      </c>
      <c r="N16" s="736">
        <f t="shared" si="8"/>
        <v>0</v>
      </c>
      <c r="O16" s="736">
        <f t="shared" si="9"/>
        <v>0</v>
      </c>
      <c r="P16" s="736">
        <f t="shared" si="9"/>
        <v>0</v>
      </c>
      <c r="Q16" s="736">
        <f t="shared" si="10"/>
        <v>0</v>
      </c>
      <c r="R16" s="736">
        <f t="shared" si="11"/>
        <v>0</v>
      </c>
      <c r="S16" s="736">
        <f t="shared" si="12"/>
        <v>0</v>
      </c>
      <c r="T16" s="736">
        <f t="shared" si="13"/>
        <v>0</v>
      </c>
      <c r="U16" s="736">
        <f t="shared" si="14"/>
        <v>0</v>
      </c>
      <c r="V16" s="426">
        <f t="shared" si="15"/>
        <v>0</v>
      </c>
      <c r="W16" s="712">
        <f>'t1'!M16</f>
        <v>0</v>
      </c>
      <c r="AA16" s="189"/>
      <c r="AB16" s="189"/>
      <c r="AC16" s="189"/>
      <c r="AD16" s="190"/>
      <c r="AE16" s="190"/>
      <c r="AF16" s="190"/>
      <c r="AG16" s="190"/>
      <c r="AH16" s="190"/>
      <c r="AI16" s="190"/>
      <c r="AJ16" s="190"/>
      <c r="AK16" s="190"/>
      <c r="AL16" s="190"/>
      <c r="AM16" s="190"/>
      <c r="AN16" s="190"/>
      <c r="AO16" s="190"/>
      <c r="AP16" s="190"/>
      <c r="AQ16" s="190"/>
      <c r="AR16" s="190"/>
      <c r="AS16" s="190"/>
      <c r="AT16" s="426">
        <f t="shared" si="16"/>
        <v>0</v>
      </c>
      <c r="AU16" s="712">
        <f>'t1'!AQ16</f>
        <v>0</v>
      </c>
      <c r="CA16" s="881" t="s">
        <v>458</v>
      </c>
    </row>
    <row r="17" spans="1:79" ht="12.75" customHeight="1" x14ac:dyDescent="0.2">
      <c r="A17" s="135" t="str">
        <f>'t1'!A17</f>
        <v>ELEVATE PROFESSIONALITA'</v>
      </c>
      <c r="B17" s="201" t="str">
        <f>'t1'!B17</f>
        <v>0EP981</v>
      </c>
      <c r="C17" s="735">
        <f t="shared" ref="C17:L21" si="20">ROUND(AA17,0)</f>
        <v>0</v>
      </c>
      <c r="D17" s="735">
        <f t="shared" si="20"/>
        <v>0</v>
      </c>
      <c r="E17" s="735">
        <f t="shared" si="20"/>
        <v>0</v>
      </c>
      <c r="F17" s="736">
        <f t="shared" si="20"/>
        <v>0</v>
      </c>
      <c r="G17" s="736">
        <f t="shared" si="20"/>
        <v>0</v>
      </c>
      <c r="H17" s="736">
        <f t="shared" si="20"/>
        <v>0</v>
      </c>
      <c r="I17" s="736">
        <f t="shared" si="20"/>
        <v>0</v>
      </c>
      <c r="J17" s="736">
        <f t="shared" si="20"/>
        <v>0</v>
      </c>
      <c r="K17" s="736">
        <f t="shared" si="20"/>
        <v>0</v>
      </c>
      <c r="L17" s="736">
        <f t="shared" si="20"/>
        <v>0</v>
      </c>
      <c r="M17" s="736">
        <f t="shared" si="7"/>
        <v>0</v>
      </c>
      <c r="N17" s="736">
        <f t="shared" si="8"/>
        <v>0</v>
      </c>
      <c r="O17" s="736">
        <f t="shared" si="9"/>
        <v>0</v>
      </c>
      <c r="P17" s="736">
        <f t="shared" si="9"/>
        <v>0</v>
      </c>
      <c r="Q17" s="736">
        <f t="shared" si="10"/>
        <v>0</v>
      </c>
      <c r="R17" s="736">
        <f t="shared" si="11"/>
        <v>0</v>
      </c>
      <c r="S17" s="736">
        <f t="shared" si="12"/>
        <v>0</v>
      </c>
      <c r="T17" s="736">
        <f t="shared" si="13"/>
        <v>0</v>
      </c>
      <c r="U17" s="736">
        <f t="shared" si="14"/>
        <v>0</v>
      </c>
      <c r="V17" s="426">
        <f t="shared" si="15"/>
        <v>0</v>
      </c>
      <c r="W17" s="712">
        <f>'t1'!M17</f>
        <v>0</v>
      </c>
      <c r="AA17" s="189"/>
      <c r="AB17" s="189"/>
      <c r="AC17" s="189"/>
      <c r="AD17" s="190"/>
      <c r="AE17" s="190"/>
      <c r="AF17" s="190"/>
      <c r="AG17" s="190"/>
      <c r="AH17" s="190"/>
      <c r="AI17" s="190"/>
      <c r="AJ17" s="190"/>
      <c r="AK17" s="190"/>
      <c r="AL17" s="190"/>
      <c r="AM17" s="190"/>
      <c r="AN17" s="190"/>
      <c r="AO17" s="190"/>
      <c r="AP17" s="190"/>
      <c r="AQ17" s="190"/>
      <c r="AR17" s="190"/>
      <c r="AS17" s="190"/>
      <c r="AT17" s="426">
        <f t="shared" si="16"/>
        <v>0</v>
      </c>
      <c r="AU17" s="712">
        <f>'t1'!AQ17</f>
        <v>0</v>
      </c>
      <c r="CA17" s="881" t="s">
        <v>267</v>
      </c>
    </row>
    <row r="18" spans="1:79" ht="12.75" customHeight="1" x14ac:dyDescent="0.2">
      <c r="A18" s="135" t="str">
        <f>'t1'!A18</f>
        <v>FUNZIONARI</v>
      </c>
      <c r="B18" s="201" t="str">
        <f>'t1'!B18</f>
        <v>0FZ000</v>
      </c>
      <c r="C18" s="735">
        <f t="shared" si="20"/>
        <v>0</v>
      </c>
      <c r="D18" s="735">
        <f t="shared" si="20"/>
        <v>0</v>
      </c>
      <c r="E18" s="735">
        <f t="shared" si="20"/>
        <v>0</v>
      </c>
      <c r="F18" s="736">
        <f t="shared" si="20"/>
        <v>0</v>
      </c>
      <c r="G18" s="736">
        <f t="shared" si="20"/>
        <v>0</v>
      </c>
      <c r="H18" s="736">
        <f t="shared" si="20"/>
        <v>0</v>
      </c>
      <c r="I18" s="736">
        <f t="shared" si="20"/>
        <v>0</v>
      </c>
      <c r="J18" s="736">
        <f t="shared" si="20"/>
        <v>0</v>
      </c>
      <c r="K18" s="736">
        <f t="shared" si="20"/>
        <v>0</v>
      </c>
      <c r="L18" s="736">
        <f t="shared" si="20"/>
        <v>0</v>
      </c>
      <c r="M18" s="736">
        <f t="shared" si="7"/>
        <v>0</v>
      </c>
      <c r="N18" s="736">
        <f t="shared" si="8"/>
        <v>0</v>
      </c>
      <c r="O18" s="736">
        <f t="shared" si="9"/>
        <v>0</v>
      </c>
      <c r="P18" s="736">
        <f t="shared" si="9"/>
        <v>0</v>
      </c>
      <c r="Q18" s="736">
        <f t="shared" si="10"/>
        <v>0</v>
      </c>
      <c r="R18" s="736">
        <f t="shared" si="11"/>
        <v>0</v>
      </c>
      <c r="S18" s="736">
        <f t="shared" si="12"/>
        <v>0</v>
      </c>
      <c r="T18" s="736">
        <f t="shared" si="13"/>
        <v>0</v>
      </c>
      <c r="U18" s="736">
        <f t="shared" si="14"/>
        <v>0</v>
      </c>
      <c r="V18" s="426">
        <f t="shared" si="15"/>
        <v>0</v>
      </c>
      <c r="W18" s="712">
        <f>'t1'!M18</f>
        <v>0</v>
      </c>
      <c r="AA18" s="189"/>
      <c r="AB18" s="189"/>
      <c r="AC18" s="189"/>
      <c r="AD18" s="190"/>
      <c r="AE18" s="190"/>
      <c r="AF18" s="190"/>
      <c r="AG18" s="190"/>
      <c r="AH18" s="190"/>
      <c r="AI18" s="190"/>
      <c r="AJ18" s="190"/>
      <c r="AK18" s="190"/>
      <c r="AL18" s="190"/>
      <c r="AM18" s="190"/>
      <c r="AN18" s="190"/>
      <c r="AO18" s="190"/>
      <c r="AP18" s="190"/>
      <c r="AQ18" s="190"/>
      <c r="AR18" s="190"/>
      <c r="AS18" s="190"/>
      <c r="AT18" s="426">
        <f t="shared" si="16"/>
        <v>0</v>
      </c>
      <c r="AU18" s="712">
        <f>'t1'!AQ18</f>
        <v>0</v>
      </c>
      <c r="CA18" s="881" t="s">
        <v>267</v>
      </c>
    </row>
    <row r="19" spans="1:79" ht="12.75" customHeight="1" x14ac:dyDescent="0.2">
      <c r="A19" s="135" t="str">
        <f>'t1'!A19</f>
        <v>ASSISTENTI</v>
      </c>
      <c r="B19" s="201" t="str">
        <f>'t1'!B19</f>
        <v>0AS000</v>
      </c>
      <c r="C19" s="735">
        <f t="shared" si="20"/>
        <v>60</v>
      </c>
      <c r="D19" s="735">
        <f t="shared" si="20"/>
        <v>0</v>
      </c>
      <c r="E19" s="735">
        <f t="shared" si="20"/>
        <v>0</v>
      </c>
      <c r="F19" s="736">
        <f t="shared" si="20"/>
        <v>1769</v>
      </c>
      <c r="G19" s="736">
        <f t="shared" si="20"/>
        <v>847</v>
      </c>
      <c r="H19" s="736">
        <f t="shared" si="20"/>
        <v>0</v>
      </c>
      <c r="I19" s="736">
        <f t="shared" si="20"/>
        <v>0</v>
      </c>
      <c r="J19" s="736">
        <f t="shared" si="20"/>
        <v>0</v>
      </c>
      <c r="K19" s="736">
        <f t="shared" si="20"/>
        <v>0</v>
      </c>
      <c r="L19" s="736">
        <f t="shared" si="20"/>
        <v>0</v>
      </c>
      <c r="M19" s="736">
        <f t="shared" si="7"/>
        <v>0</v>
      </c>
      <c r="N19" s="736">
        <f t="shared" si="8"/>
        <v>0</v>
      </c>
      <c r="O19" s="736">
        <f t="shared" si="9"/>
        <v>0</v>
      </c>
      <c r="P19" s="736">
        <f t="shared" si="9"/>
        <v>0</v>
      </c>
      <c r="Q19" s="736">
        <f t="shared" si="10"/>
        <v>0</v>
      </c>
      <c r="R19" s="736">
        <f t="shared" si="11"/>
        <v>0</v>
      </c>
      <c r="S19" s="736">
        <f t="shared" si="12"/>
        <v>0</v>
      </c>
      <c r="T19" s="736">
        <f t="shared" si="13"/>
        <v>181</v>
      </c>
      <c r="U19" s="736">
        <f t="shared" si="14"/>
        <v>947</v>
      </c>
      <c r="V19" s="426">
        <f t="shared" si="15"/>
        <v>3804</v>
      </c>
      <c r="W19" s="712">
        <f>'t1'!M19</f>
        <v>1</v>
      </c>
      <c r="AA19" s="189">
        <v>60</v>
      </c>
      <c r="AB19" s="189"/>
      <c r="AC19" s="189"/>
      <c r="AD19" s="190">
        <v>1769</v>
      </c>
      <c r="AE19" s="190">
        <v>847</v>
      </c>
      <c r="AF19" s="190"/>
      <c r="AG19" s="190"/>
      <c r="AH19" s="190"/>
      <c r="AI19" s="190"/>
      <c r="AJ19" s="190"/>
      <c r="AK19" s="190"/>
      <c r="AL19" s="190"/>
      <c r="AM19" s="190"/>
      <c r="AN19" s="190"/>
      <c r="AO19" s="190"/>
      <c r="AP19" s="190"/>
      <c r="AQ19" s="190"/>
      <c r="AR19" s="190">
        <v>181</v>
      </c>
      <c r="AS19" s="190">
        <v>947</v>
      </c>
      <c r="AT19" s="426">
        <f t="shared" si="16"/>
        <v>3804</v>
      </c>
      <c r="AU19" s="712">
        <f>'t1'!AQ19</f>
        <v>0</v>
      </c>
      <c r="CA19" s="881" t="s">
        <v>267</v>
      </c>
    </row>
    <row r="20" spans="1:79" ht="12.75" customHeight="1" x14ac:dyDescent="0.2">
      <c r="A20" s="135" t="str">
        <f>'t1'!A20</f>
        <v>OPERATORI</v>
      </c>
      <c r="B20" s="201" t="str">
        <f>'t1'!B20</f>
        <v>0OP000</v>
      </c>
      <c r="C20" s="735">
        <f t="shared" si="20"/>
        <v>0</v>
      </c>
      <c r="D20" s="735">
        <f t="shared" si="20"/>
        <v>0</v>
      </c>
      <c r="E20" s="735">
        <f t="shared" si="20"/>
        <v>0</v>
      </c>
      <c r="F20" s="736">
        <f t="shared" si="20"/>
        <v>0</v>
      </c>
      <c r="G20" s="736">
        <f t="shared" si="20"/>
        <v>0</v>
      </c>
      <c r="H20" s="736">
        <f t="shared" si="20"/>
        <v>0</v>
      </c>
      <c r="I20" s="736">
        <f t="shared" si="20"/>
        <v>0</v>
      </c>
      <c r="J20" s="736">
        <f t="shared" si="20"/>
        <v>0</v>
      </c>
      <c r="K20" s="736">
        <f t="shared" si="20"/>
        <v>0</v>
      </c>
      <c r="L20" s="736">
        <f t="shared" si="20"/>
        <v>0</v>
      </c>
      <c r="M20" s="736">
        <f t="shared" si="7"/>
        <v>0</v>
      </c>
      <c r="N20" s="736">
        <f t="shared" si="8"/>
        <v>0</v>
      </c>
      <c r="O20" s="736">
        <f t="shared" si="9"/>
        <v>0</v>
      </c>
      <c r="P20" s="736">
        <f t="shared" si="9"/>
        <v>0</v>
      </c>
      <c r="Q20" s="736">
        <f t="shared" si="10"/>
        <v>0</v>
      </c>
      <c r="R20" s="736">
        <f t="shared" si="11"/>
        <v>0</v>
      </c>
      <c r="S20" s="736">
        <f t="shared" si="12"/>
        <v>0</v>
      </c>
      <c r="T20" s="736">
        <f t="shared" si="13"/>
        <v>0</v>
      </c>
      <c r="U20" s="736">
        <f t="shared" si="14"/>
        <v>0</v>
      </c>
      <c r="V20" s="426">
        <f t="shared" si="15"/>
        <v>0</v>
      </c>
      <c r="W20" s="712">
        <f>'t1'!M20</f>
        <v>0</v>
      </c>
      <c r="AA20" s="189"/>
      <c r="AB20" s="189"/>
      <c r="AC20" s="189"/>
      <c r="AD20" s="190"/>
      <c r="AE20" s="190"/>
      <c r="AF20" s="190"/>
      <c r="AG20" s="190"/>
      <c r="AH20" s="190"/>
      <c r="AI20" s="190"/>
      <c r="AJ20" s="190"/>
      <c r="AK20" s="190"/>
      <c r="AL20" s="190"/>
      <c r="AM20" s="190"/>
      <c r="AN20" s="190"/>
      <c r="AO20" s="190"/>
      <c r="AP20" s="190"/>
      <c r="AQ20" s="190"/>
      <c r="AR20" s="190"/>
      <c r="AS20" s="190"/>
      <c r="AT20" s="426">
        <f t="shared" si="16"/>
        <v>0</v>
      </c>
      <c r="AU20" s="712">
        <f>'t1'!AQ20</f>
        <v>0</v>
      </c>
      <c r="CA20" s="881" t="s">
        <v>267</v>
      </c>
    </row>
    <row r="21" spans="1:79" ht="12.75" customHeight="1" thickBot="1" x14ac:dyDescent="0.25">
      <c r="A21" s="135" t="str">
        <f>'t1'!A21</f>
        <v>CONTRATTISTI</v>
      </c>
      <c r="B21" s="201" t="str">
        <f>'t1'!B21</f>
        <v>000061</v>
      </c>
      <c r="C21" s="735">
        <f t="shared" si="20"/>
        <v>0</v>
      </c>
      <c r="D21" s="735">
        <f t="shared" si="20"/>
        <v>0</v>
      </c>
      <c r="E21" s="735">
        <f t="shared" si="20"/>
        <v>0</v>
      </c>
      <c r="F21" s="736">
        <f t="shared" si="20"/>
        <v>0</v>
      </c>
      <c r="G21" s="736">
        <f t="shared" si="20"/>
        <v>0</v>
      </c>
      <c r="H21" s="736">
        <f t="shared" si="20"/>
        <v>0</v>
      </c>
      <c r="I21" s="736">
        <f t="shared" si="20"/>
        <v>0</v>
      </c>
      <c r="J21" s="736">
        <f t="shared" si="20"/>
        <v>0</v>
      </c>
      <c r="K21" s="736">
        <f t="shared" si="20"/>
        <v>0</v>
      </c>
      <c r="L21" s="736">
        <f t="shared" si="20"/>
        <v>0</v>
      </c>
      <c r="M21" s="736">
        <f t="shared" si="7"/>
        <v>0</v>
      </c>
      <c r="N21" s="736">
        <f t="shared" si="8"/>
        <v>0</v>
      </c>
      <c r="O21" s="736">
        <f t="shared" si="9"/>
        <v>0</v>
      </c>
      <c r="P21" s="736">
        <f t="shared" si="9"/>
        <v>0</v>
      </c>
      <c r="Q21" s="736">
        <f t="shared" si="10"/>
        <v>0</v>
      </c>
      <c r="R21" s="736">
        <f t="shared" si="11"/>
        <v>0</v>
      </c>
      <c r="S21" s="736">
        <f t="shared" si="12"/>
        <v>0</v>
      </c>
      <c r="T21" s="736">
        <f t="shared" si="13"/>
        <v>0</v>
      </c>
      <c r="U21" s="736">
        <f t="shared" si="14"/>
        <v>0</v>
      </c>
      <c r="V21" s="426">
        <f t="shared" si="15"/>
        <v>0</v>
      </c>
      <c r="W21" s="712">
        <f>'t1'!M21</f>
        <v>0</v>
      </c>
      <c r="AA21" s="189"/>
      <c r="AB21" s="189"/>
      <c r="AC21" s="189"/>
      <c r="AD21" s="190"/>
      <c r="AE21" s="190"/>
      <c r="AF21" s="190"/>
      <c r="AG21" s="190"/>
      <c r="AH21" s="190"/>
      <c r="AI21" s="190"/>
      <c r="AJ21" s="190"/>
      <c r="AK21" s="190"/>
      <c r="AL21" s="190"/>
      <c r="AM21" s="190"/>
      <c r="AN21" s="190"/>
      <c r="AO21" s="190"/>
      <c r="AP21" s="190"/>
      <c r="AQ21" s="190"/>
      <c r="AR21" s="190"/>
      <c r="AS21" s="190"/>
      <c r="AT21" s="426">
        <f t="shared" si="16"/>
        <v>0</v>
      </c>
      <c r="AU21" s="712">
        <f>'t1'!AQ21</f>
        <v>0</v>
      </c>
      <c r="CA21" s="881" t="s">
        <v>267</v>
      </c>
    </row>
    <row r="22" spans="1:79" ht="15" customHeight="1" thickTop="1" thickBot="1" x14ac:dyDescent="0.25">
      <c r="A22" s="143" t="s">
        <v>60</v>
      </c>
      <c r="B22" s="108"/>
      <c r="C22" s="425">
        <f t="shared" ref="C22:V22" si="21">SUM(C6:C21)</f>
        <v>60</v>
      </c>
      <c r="D22" s="425">
        <f t="shared" si="21"/>
        <v>0</v>
      </c>
      <c r="E22" s="425">
        <f t="shared" si="21"/>
        <v>0</v>
      </c>
      <c r="F22" s="425">
        <f t="shared" si="21"/>
        <v>1769</v>
      </c>
      <c r="G22" s="425">
        <f t="shared" si="21"/>
        <v>847</v>
      </c>
      <c r="H22" s="425">
        <f t="shared" si="21"/>
        <v>0</v>
      </c>
      <c r="I22" s="425">
        <f t="shared" si="21"/>
        <v>0</v>
      </c>
      <c r="J22" s="425">
        <f t="shared" si="21"/>
        <v>0</v>
      </c>
      <c r="K22" s="425">
        <f t="shared" si="21"/>
        <v>0</v>
      </c>
      <c r="L22" s="425">
        <f t="shared" si="21"/>
        <v>0</v>
      </c>
      <c r="M22" s="425">
        <f t="shared" si="21"/>
        <v>0</v>
      </c>
      <c r="N22" s="425">
        <f t="shared" si="21"/>
        <v>0</v>
      </c>
      <c r="O22" s="425">
        <f t="shared" si="21"/>
        <v>0</v>
      </c>
      <c r="P22" s="425">
        <f t="shared" si="21"/>
        <v>0</v>
      </c>
      <c r="Q22" s="425">
        <f t="shared" si="21"/>
        <v>0</v>
      </c>
      <c r="R22" s="425">
        <f t="shared" si="21"/>
        <v>0</v>
      </c>
      <c r="S22" s="425">
        <f t="shared" si="21"/>
        <v>0</v>
      </c>
      <c r="T22" s="425">
        <f t="shared" si="21"/>
        <v>181</v>
      </c>
      <c r="U22" s="425">
        <f t="shared" si="21"/>
        <v>947</v>
      </c>
      <c r="V22" s="425">
        <f t="shared" si="21"/>
        <v>3804</v>
      </c>
      <c r="AA22" s="425">
        <f t="shared" ref="AA22:AM22" si="22">SUM(AA6:AA21)</f>
        <v>60</v>
      </c>
      <c r="AB22" s="425">
        <f t="shared" si="22"/>
        <v>0</v>
      </c>
      <c r="AC22" s="425">
        <f t="shared" si="22"/>
        <v>0</v>
      </c>
      <c r="AD22" s="425">
        <f t="shared" si="22"/>
        <v>1769</v>
      </c>
      <c r="AE22" s="425">
        <f t="shared" si="22"/>
        <v>847</v>
      </c>
      <c r="AF22" s="425">
        <f t="shared" si="22"/>
        <v>0</v>
      </c>
      <c r="AG22" s="425">
        <f t="shared" si="22"/>
        <v>0</v>
      </c>
      <c r="AH22" s="425">
        <f t="shared" si="22"/>
        <v>0</v>
      </c>
      <c r="AI22" s="425">
        <f t="shared" si="22"/>
        <v>0</v>
      </c>
      <c r="AJ22" s="425">
        <f t="shared" si="22"/>
        <v>0</v>
      </c>
      <c r="AK22" s="425">
        <f t="shared" si="22"/>
        <v>0</v>
      </c>
      <c r="AL22" s="425">
        <f t="shared" si="22"/>
        <v>0</v>
      </c>
      <c r="AM22" s="425">
        <f t="shared" si="22"/>
        <v>0</v>
      </c>
      <c r="AN22" s="425">
        <f t="shared" ref="AN22" si="23">SUM(AN6:AN21)</f>
        <v>0</v>
      </c>
      <c r="AO22" s="425">
        <f t="shared" ref="AO22:AT22" si="24">SUM(AO6:AO21)</f>
        <v>0</v>
      </c>
      <c r="AP22" s="425">
        <f t="shared" si="24"/>
        <v>0</v>
      </c>
      <c r="AQ22" s="425">
        <f t="shared" si="24"/>
        <v>0</v>
      </c>
      <c r="AR22" s="425">
        <f t="shared" si="24"/>
        <v>181</v>
      </c>
      <c r="AS22" s="425">
        <f t="shared" si="24"/>
        <v>947</v>
      </c>
      <c r="AT22" s="425">
        <f t="shared" si="24"/>
        <v>3804</v>
      </c>
    </row>
    <row r="23" spans="1:79" x14ac:dyDescent="0.2">
      <c r="A23" s="18" t="str">
        <f>'t1'!$A$23</f>
        <v>(a) personale a tempo indeterminato al quale viene applicato un contratto di lavoro di tipo privatistico (es.:tipografico,chimico,edile,metalmeccanico,portierato, ecc.)</v>
      </c>
      <c r="V23" s="36"/>
      <c r="W23" s="36"/>
      <c r="X23" s="36"/>
      <c r="Y23" s="36"/>
      <c r="Z23" s="36"/>
      <c r="AT23" s="36"/>
      <c r="AU23" s="36"/>
      <c r="AV23" s="36"/>
      <c r="AW23" s="36"/>
    </row>
    <row r="24" spans="1:79" x14ac:dyDescent="0.2">
      <c r="A24" s="18"/>
    </row>
    <row r="25" spans="1:79" x14ac:dyDescent="0.2">
      <c r="A25" s="3" t="s">
        <v>168</v>
      </c>
      <c r="B25" s="53"/>
      <c r="C25" s="51"/>
      <c r="D25" s="51"/>
      <c r="E25" s="51"/>
      <c r="F25" s="51"/>
      <c r="G25" s="51"/>
      <c r="H25" s="51"/>
      <c r="I25" s="51"/>
      <c r="J25" s="51"/>
      <c r="K25" s="51"/>
      <c r="L25" s="51"/>
      <c r="M25" s="51"/>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row>
    <row r="26" spans="1:79" x14ac:dyDescent="0.2">
      <c r="A26" s="4"/>
    </row>
    <row r="27" spans="1:79" x14ac:dyDescent="0.2">
      <c r="A27" s="4"/>
    </row>
  </sheetData>
  <sheetProtection algorithmName="SHA-512" hashValue="C2fq/QoivVZgEYeVzUZmc4joUJR2yWUS6Gs3/TEoB/2ufsSvoDlfNAxBzq0tolGfzqQhtfXWvrNbrUaLXkZyhQ==" saltValue="0myAXokOSddv7+qTF/txdA==" spinCount="100000" sheet="1" formatColumns="0" selectLockedCells="1"/>
  <mergeCells count="1">
    <mergeCell ref="A1:AT1"/>
  </mergeCells>
  <phoneticPr fontId="30" type="noConversion"/>
  <conditionalFormatting sqref="A6:V21 AA6:AT21">
    <cfRule type="expression" dxfId="35" priority="4" stopIfTrue="1">
      <formula>$W6&gt;0</formula>
    </cfRule>
  </conditionalFormatting>
  <dataValidations count="1">
    <dataValidation type="whole" allowBlank="1" showInputMessage="1" showErrorMessage="1" errorTitle="ERRORE NEL DATO IMMESSO" error="INSERIRE SOLO NUMERI INTERI" sqref="AA6:AS21" xr:uid="{00000000-0002-0000-1000-000000000000}">
      <formula1>1</formula1>
      <formula2>999999999999</formula2>
    </dataValidation>
  </dataValidations>
  <printOptions horizontalCentered="1" verticalCentered="1"/>
  <pageMargins left="0" right="0" top="0.15748031496062992" bottom="0.15748031496062992" header="0.19685039370078741" footer="0.19685039370078741"/>
  <pageSetup paperSize="9" scale="75" orientation="landscape" horizontalDpi="300" verticalDpi="4294967292" r:id="rId1"/>
  <headerFooter alignWithMargins="0"/>
  <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oglio21"/>
  <dimension ref="A1:N38"/>
  <sheetViews>
    <sheetView showGridLines="0" workbookViewId="0">
      <pane ySplit="3" topLeftCell="A16" activePane="bottomLeft" state="frozen"/>
      <selection activeCell="C4" sqref="C4:C6"/>
      <selection pane="bottomLeft" activeCell="D22" sqref="D22"/>
    </sheetView>
  </sheetViews>
  <sheetFormatPr defaultRowHeight="10.5" x14ac:dyDescent="0.15"/>
  <cols>
    <col min="1" max="1" width="87.6640625" customWidth="1"/>
    <col min="2" max="2" width="18" customWidth="1"/>
    <col min="3" max="3" width="18" hidden="1" customWidth="1"/>
    <col min="4" max="4" width="17.6640625" customWidth="1"/>
    <col min="5" max="5" width="8.6640625" customWidth="1"/>
    <col min="6" max="6" width="12.1640625" customWidth="1"/>
    <col min="7" max="7" width="3.1640625" hidden="1" customWidth="1"/>
  </cols>
  <sheetData>
    <row r="1" spans="1:14" s="3" customFormat="1" ht="43.5" customHeight="1" x14ac:dyDescent="0.2">
      <c r="A1" s="1447" t="str">
        <f>'t1'!A1</f>
        <v>ENTI PUBBLICI NON ECONOMICI - anno 2024</v>
      </c>
      <c r="B1" s="1447"/>
      <c r="C1" s="1447"/>
      <c r="D1" s="1447"/>
      <c r="H1" s="4"/>
      <c r="N1"/>
    </row>
    <row r="2" spans="1:14" ht="30" customHeight="1" thickBot="1" x14ac:dyDescent="0.25">
      <c r="A2" s="5"/>
      <c r="B2" s="1540" t="str">
        <f>IF(AND(A32="",(D26+D27+D28+D29)&gt;0),"ATTENZIONE!  Inserire nel campo NOTE l'elenco delle Istituzioni ed il relativo importo dei rimborsi",IF(AND(A32&lt;&gt;"",(D26+D27+D28+D29)=0),"ATTENZIONE!  il campo NOTE non deve essere compilato in assenza di rimborsi",""))</f>
        <v/>
      </c>
      <c r="C2" s="1540"/>
      <c r="D2" s="1540"/>
    </row>
    <row r="3" spans="1:14" ht="21.75" customHeight="1" thickBot="1" x14ac:dyDescent="0.2">
      <c r="A3" s="97" t="s">
        <v>115</v>
      </c>
      <c r="B3" s="272" t="s">
        <v>88</v>
      </c>
      <c r="C3" s="737"/>
      <c r="D3" s="273" t="s">
        <v>90</v>
      </c>
    </row>
    <row r="4" spans="1:14" s="99" customFormat="1" ht="23.25" customHeight="1" thickTop="1" x14ac:dyDescent="0.2">
      <c r="A4" s="98" t="s">
        <v>138</v>
      </c>
      <c r="B4" s="150" t="s">
        <v>142</v>
      </c>
      <c r="C4" s="746">
        <f>ROUND(D4,0)</f>
        <v>0</v>
      </c>
      <c r="D4" s="191"/>
    </row>
    <row r="5" spans="1:14" s="99" customFormat="1" ht="23.25" customHeight="1" x14ac:dyDescent="0.2">
      <c r="A5" s="101" t="s">
        <v>355</v>
      </c>
      <c r="B5" s="151" t="s">
        <v>153</v>
      </c>
      <c r="C5" s="739">
        <f t="shared" ref="C5:C29" si="0">ROUND(D5,0)</f>
        <v>0</v>
      </c>
      <c r="D5" s="191"/>
    </row>
    <row r="6" spans="1:14" s="99" customFormat="1" ht="23.25" customHeight="1" x14ac:dyDescent="0.2">
      <c r="A6" s="101" t="s">
        <v>132</v>
      </c>
      <c r="B6" s="140" t="s">
        <v>154</v>
      </c>
      <c r="C6" s="738">
        <f t="shared" si="0"/>
        <v>0</v>
      </c>
      <c r="D6" s="191"/>
    </row>
    <row r="7" spans="1:14" s="99" customFormat="1" ht="23.25" customHeight="1" x14ac:dyDescent="0.2">
      <c r="A7" s="101" t="s">
        <v>136</v>
      </c>
      <c r="B7" s="152" t="s">
        <v>155</v>
      </c>
      <c r="C7" s="739">
        <f t="shared" si="0"/>
        <v>0</v>
      </c>
      <c r="D7" s="191"/>
    </row>
    <row r="8" spans="1:14" s="99" customFormat="1" ht="23.25" customHeight="1" x14ac:dyDescent="0.2">
      <c r="A8" s="102" t="s">
        <v>135</v>
      </c>
      <c r="B8" s="140" t="s">
        <v>156</v>
      </c>
      <c r="C8" s="738">
        <f t="shared" si="0"/>
        <v>0</v>
      </c>
      <c r="D8" s="191"/>
    </row>
    <row r="9" spans="1:14" s="99" customFormat="1" ht="23.25" customHeight="1" x14ac:dyDescent="0.2">
      <c r="A9" s="120" t="s">
        <v>134</v>
      </c>
      <c r="B9" s="152" t="s">
        <v>157</v>
      </c>
      <c r="C9" s="739">
        <f t="shared" si="0"/>
        <v>0</v>
      </c>
      <c r="D9" s="192"/>
    </row>
    <row r="10" spans="1:14" s="99" customFormat="1" ht="23.25" customHeight="1" x14ac:dyDescent="0.2">
      <c r="A10" s="153" t="s">
        <v>356</v>
      </c>
      <c r="B10" s="140" t="s">
        <v>146</v>
      </c>
      <c r="C10" s="738">
        <f t="shared" si="0"/>
        <v>0</v>
      </c>
      <c r="D10" s="191"/>
    </row>
    <row r="11" spans="1:14" s="99" customFormat="1" ht="23.25" customHeight="1" x14ac:dyDescent="0.2">
      <c r="A11" s="102" t="s">
        <v>158</v>
      </c>
      <c r="B11" s="139" t="s">
        <v>159</v>
      </c>
      <c r="C11" s="738">
        <f t="shared" si="0"/>
        <v>0</v>
      </c>
      <c r="D11" s="191"/>
    </row>
    <row r="12" spans="1:14" s="99" customFormat="1" ht="23.25" customHeight="1" x14ac:dyDescent="0.2">
      <c r="A12" s="1336" t="s">
        <v>1079</v>
      </c>
      <c r="B12" s="662" t="s">
        <v>1081</v>
      </c>
      <c r="C12" s="738">
        <f t="shared" si="0"/>
        <v>2435</v>
      </c>
      <c r="D12" s="191">
        <v>2435</v>
      </c>
    </row>
    <row r="13" spans="1:14" s="99" customFormat="1" ht="23.25" customHeight="1" x14ac:dyDescent="0.2">
      <c r="A13" s="1336" t="s">
        <v>1080</v>
      </c>
      <c r="B13" s="1335" t="s">
        <v>1082</v>
      </c>
      <c r="C13" s="738">
        <f t="shared" si="0"/>
        <v>0</v>
      </c>
      <c r="D13" s="191"/>
    </row>
    <row r="14" spans="1:14" s="99" customFormat="1" ht="23.25" customHeight="1" x14ac:dyDescent="0.2">
      <c r="A14" s="102" t="s">
        <v>2</v>
      </c>
      <c r="B14" s="140" t="s">
        <v>3</v>
      </c>
      <c r="C14" s="738">
        <f t="shared" si="0"/>
        <v>0</v>
      </c>
      <c r="D14" s="191"/>
    </row>
    <row r="15" spans="1:14" s="99" customFormat="1" ht="23.25" customHeight="1" x14ac:dyDescent="0.2">
      <c r="A15" s="120" t="s">
        <v>92</v>
      </c>
      <c r="B15" s="152" t="s">
        <v>160</v>
      </c>
      <c r="C15" s="739">
        <f t="shared" si="0"/>
        <v>110</v>
      </c>
      <c r="D15" s="192">
        <v>110</v>
      </c>
    </row>
    <row r="16" spans="1:14" s="99" customFormat="1" ht="23.25" customHeight="1" x14ac:dyDescent="0.2">
      <c r="A16" s="153" t="s">
        <v>357</v>
      </c>
      <c r="B16" s="151" t="s">
        <v>143</v>
      </c>
      <c r="C16" s="740">
        <f t="shared" si="0"/>
        <v>0</v>
      </c>
      <c r="D16" s="192"/>
    </row>
    <row r="17" spans="1:8" s="99" customFormat="1" ht="23.25" customHeight="1" x14ac:dyDescent="0.2">
      <c r="A17" s="103" t="s">
        <v>358</v>
      </c>
      <c r="B17" s="140" t="s">
        <v>144</v>
      </c>
      <c r="C17" s="738">
        <f t="shared" si="0"/>
        <v>0</v>
      </c>
      <c r="D17" s="191"/>
    </row>
    <row r="18" spans="1:8" ht="23.25" customHeight="1" x14ac:dyDescent="0.2">
      <c r="A18" s="100" t="s">
        <v>133</v>
      </c>
      <c r="B18" s="139" t="s">
        <v>152</v>
      </c>
      <c r="C18" s="738">
        <f t="shared" si="0"/>
        <v>0</v>
      </c>
      <c r="D18" s="192"/>
    </row>
    <row r="19" spans="1:8" ht="23.25" customHeight="1" x14ac:dyDescent="0.2">
      <c r="A19" s="663" t="s">
        <v>556</v>
      </c>
      <c r="B19" s="662" t="s">
        <v>555</v>
      </c>
      <c r="C19" s="741">
        <f t="shared" si="0"/>
        <v>0</v>
      </c>
      <c r="D19" s="191"/>
    </row>
    <row r="20" spans="1:8" s="3" customFormat="1" ht="23.25" customHeight="1" x14ac:dyDescent="0.2">
      <c r="A20" s="663" t="s">
        <v>359</v>
      </c>
      <c r="B20" s="140" t="s">
        <v>148</v>
      </c>
      <c r="C20" s="738">
        <f t="shared" si="0"/>
        <v>4412</v>
      </c>
      <c r="D20" s="191">
        <v>4412</v>
      </c>
      <c r="G20" s="3" t="s">
        <v>557</v>
      </c>
    </row>
    <row r="21" spans="1:8" ht="23.25" customHeight="1" x14ac:dyDescent="0.2">
      <c r="A21" s="98" t="s">
        <v>360</v>
      </c>
      <c r="B21" s="152" t="s">
        <v>149</v>
      </c>
      <c r="C21" s="739">
        <f t="shared" si="0"/>
        <v>1639</v>
      </c>
      <c r="D21" s="191">
        <v>1639</v>
      </c>
      <c r="G21" t="s">
        <v>558</v>
      </c>
    </row>
    <row r="22" spans="1:8" ht="23.25" customHeight="1" x14ac:dyDescent="0.2">
      <c r="A22" s="98" t="s">
        <v>91</v>
      </c>
      <c r="B22" s="140" t="s">
        <v>150</v>
      </c>
      <c r="C22" s="738">
        <f t="shared" si="0"/>
        <v>1457</v>
      </c>
      <c r="D22" s="191">
        <v>1457</v>
      </c>
      <c r="F22" s="664" t="s">
        <v>559</v>
      </c>
      <c r="G22" s="665">
        <v>2</v>
      </c>
    </row>
    <row r="23" spans="1:8" ht="23.25" customHeight="1" x14ac:dyDescent="0.2">
      <c r="A23" s="98" t="s">
        <v>361</v>
      </c>
      <c r="B23" s="152" t="s">
        <v>145</v>
      </c>
      <c r="C23" s="739">
        <f t="shared" si="0"/>
        <v>0</v>
      </c>
      <c r="D23" s="191"/>
    </row>
    <row r="24" spans="1:8" ht="23.25" customHeight="1" x14ac:dyDescent="0.2">
      <c r="A24" s="670" t="s">
        <v>579</v>
      </c>
      <c r="B24" s="140" t="s">
        <v>147</v>
      </c>
      <c r="C24" s="742">
        <f t="shared" si="0"/>
        <v>0</v>
      </c>
      <c r="D24" s="193"/>
    </row>
    <row r="25" spans="1:8" ht="23.25" customHeight="1" x14ac:dyDescent="0.2">
      <c r="A25" s="154" t="s">
        <v>508</v>
      </c>
      <c r="B25" s="139" t="s">
        <v>509</v>
      </c>
      <c r="C25" s="743">
        <f t="shared" si="0"/>
        <v>0</v>
      </c>
      <c r="D25" s="193"/>
    </row>
    <row r="26" spans="1:8" ht="23.25" customHeight="1" x14ac:dyDescent="0.2">
      <c r="A26" s="154" t="s">
        <v>373</v>
      </c>
      <c r="B26" s="139" t="s">
        <v>374</v>
      </c>
      <c r="C26" s="743">
        <f t="shared" si="0"/>
        <v>0</v>
      </c>
      <c r="D26" s="193"/>
    </row>
    <row r="27" spans="1:8" ht="23.25" customHeight="1" x14ac:dyDescent="0.2">
      <c r="A27" s="568" t="s">
        <v>398</v>
      </c>
      <c r="B27" s="139" t="s">
        <v>362</v>
      </c>
      <c r="C27" s="743">
        <f t="shared" si="0"/>
        <v>0</v>
      </c>
      <c r="D27" s="193"/>
    </row>
    <row r="28" spans="1:8" ht="23.25" customHeight="1" x14ac:dyDescent="0.2">
      <c r="A28" s="567" t="s">
        <v>397</v>
      </c>
      <c r="B28" s="140" t="s">
        <v>151</v>
      </c>
      <c r="C28" s="744">
        <f t="shared" si="0"/>
        <v>0</v>
      </c>
      <c r="D28" s="192"/>
    </row>
    <row r="29" spans="1:8" ht="23.25" customHeight="1" thickBot="1" x14ac:dyDescent="0.25">
      <c r="A29" s="569" t="s">
        <v>399</v>
      </c>
      <c r="B29" s="141" t="s">
        <v>375</v>
      </c>
      <c r="C29" s="745">
        <f t="shared" si="0"/>
        <v>0</v>
      </c>
      <c r="D29" s="194"/>
    </row>
    <row r="30" spans="1:8" ht="15" customHeight="1" thickBot="1" x14ac:dyDescent="0.2">
      <c r="A30" s="1538" t="str">
        <f>IF(G22=1,"ATTENZIONE è stata dichiarata IRAP commerciale. Controllare l'importo inserito!"," ")</f>
        <v xml:space="preserve"> </v>
      </c>
      <c r="B30" s="1538"/>
      <c r="C30" s="1538"/>
      <c r="D30" s="1538"/>
    </row>
    <row r="31" spans="1:8" ht="15" customHeight="1" x14ac:dyDescent="0.15">
      <c r="A31" s="1544" t="s">
        <v>544</v>
      </c>
      <c r="B31" s="1545"/>
      <c r="C31" s="1545"/>
      <c r="D31" s="1546"/>
    </row>
    <row r="32" spans="1:8" ht="95.1" customHeight="1" thickBot="1" x14ac:dyDescent="0.2">
      <c r="A32" s="1541"/>
      <c r="B32" s="1542"/>
      <c r="C32" s="1542"/>
      <c r="D32" s="1543"/>
      <c r="E32" s="1547" t="str">
        <f>IF(AND(A32="",(D25+D26)&gt;0),"ATTENZIONE!  Inserire nel campo NOTE l'elenco delle Istituzioni ed il relativo importo dei rimborsi EFFETTUATI!",IF(AND(A32&lt;&gt;"",(D25+D26)=0),"ATTENZIONE!  il campo NOTE non deve essere compilato in assenza di rimborsi",""))</f>
        <v/>
      </c>
      <c r="F32" s="1548"/>
      <c r="G32" s="1548"/>
      <c r="H32" s="1548"/>
    </row>
    <row r="33" spans="1:8" ht="15" customHeight="1" thickBot="1" x14ac:dyDescent="0.2">
      <c r="A33" s="1538"/>
      <c r="B33" s="1538"/>
      <c r="C33" s="1538"/>
      <c r="D33" s="1538"/>
    </row>
    <row r="34" spans="1:8" ht="15" customHeight="1" x14ac:dyDescent="0.15">
      <c r="A34" s="1544" t="s">
        <v>545</v>
      </c>
      <c r="B34" s="1545"/>
      <c r="C34" s="1545"/>
      <c r="D34" s="1546"/>
    </row>
    <row r="35" spans="1:8" ht="95.1" customHeight="1" thickBot="1" x14ac:dyDescent="0.2">
      <c r="A35" s="1541"/>
      <c r="B35" s="1542"/>
      <c r="C35" s="1542"/>
      <c r="D35" s="1543"/>
      <c r="E35" s="1547" t="str">
        <f>IF(AND(A35="",(D27+D28+D29)&gt;0),"ATTENZIONE!  Inserire nel campo NOTE l'elenco delle Istituzioni ed il relativo importo dei rimborsi RICEVUTI!",IF(AND(A35&lt;&gt;"",(D27+D28+D29)=0),"ATTENZIONE!  il campo NOTE non deve essere compilato in assenza di rimborsi",""))</f>
        <v/>
      </c>
      <c r="F35" s="1548"/>
      <c r="G35" s="1548"/>
      <c r="H35" s="1548"/>
    </row>
    <row r="36" spans="1:8" ht="23.25" customHeight="1" x14ac:dyDescent="0.2">
      <c r="A36" s="3" t="s">
        <v>400</v>
      </c>
    </row>
    <row r="37" spans="1:8" ht="25.5" customHeight="1" x14ac:dyDescent="0.2">
      <c r="A37" s="1539" t="s">
        <v>546</v>
      </c>
      <c r="B37" s="1539"/>
      <c r="C37" s="1539"/>
      <c r="D37" s="1539"/>
    </row>
    <row r="38" spans="1:8" ht="25.5" customHeight="1" x14ac:dyDescent="0.2">
      <c r="A38" s="1539" t="s">
        <v>547</v>
      </c>
      <c r="B38" s="1539"/>
      <c r="C38" s="1539"/>
      <c r="D38" s="1539"/>
    </row>
  </sheetData>
  <sheetProtection algorithmName="SHA-512" hashValue="g6AkROwMvFZIe6v89CI7k9y8jcRSZW3wlgqwvT7Z+uO/V2rE3kKqIFgV4kfVgkIPZE8XOtlR7UsBL/QQMWTr6Q==" saltValue="9Q9LnYc7MABEFQfr/RjQgw==" spinCount="100000" sheet="1" formatColumns="0" selectLockedCells="1"/>
  <mergeCells count="12">
    <mergeCell ref="E32:H32"/>
    <mergeCell ref="A33:D33"/>
    <mergeCell ref="A35:D35"/>
    <mergeCell ref="E35:H35"/>
    <mergeCell ref="A37:D37"/>
    <mergeCell ref="A1:D1"/>
    <mergeCell ref="A30:D30"/>
    <mergeCell ref="A38:D38"/>
    <mergeCell ref="B2:D2"/>
    <mergeCell ref="A32:D32"/>
    <mergeCell ref="A31:D31"/>
    <mergeCell ref="A34:D34"/>
  </mergeCells>
  <phoneticPr fontId="30" type="noConversion"/>
  <dataValidations count="4">
    <dataValidation type="textLength" allowBlank="1" showInputMessage="1" showErrorMessage="1" errorTitle="ATTENZIONE ! ! ! " error="E' stato superato il limite di 1000 caratteri" sqref="A32:D32 A35:D35" xr:uid="{00000000-0002-0000-1100-000000000000}">
      <formula1>0</formula1>
      <formula2>1000</formula2>
    </dataValidation>
    <dataValidation type="whole" allowBlank="1" showInputMessage="1" showErrorMessage="1" errorTitle="ERRORE NEL DATO IMMESSO" error="INSERIRE SOLO NUMERI INTERI" promptTitle="ATTENZIONE" prompt="Inserire nel campo NOTE sottostante il nome delle Istituzioni da cui si ricevono i rimborsi ed i relativi importi" sqref="D27:D29" xr:uid="{00000000-0002-0000-1100-000001000000}">
      <formula1>1</formula1>
      <formula2>999999999999</formula2>
    </dataValidation>
    <dataValidation type="whole" allowBlank="1" showInputMessage="1" showErrorMessage="1" errorTitle="ERRORE NEL DATO IMMESSO" error="INSERIRE SOLO NUMERI INTERI" sqref="D4:D24" xr:uid="{00000000-0002-0000-1100-000002000000}">
      <formula1>1</formula1>
      <formula2>999999999999</formula2>
    </dataValidation>
    <dataValidation type="whole" allowBlank="1" showInputMessage="1" showErrorMessage="1" errorTitle="ERRORE NEL DATO IMMESSO" error="INSERIRE SOLO NUMERI INTERI" promptTitle="ATTENZIONE" prompt="Inserire nel campo NOTE sottostante il nome delle Istituzioni che ricevono i rimborsi ed i relativi importi" sqref="D25:D26" xr:uid="{00000000-0002-0000-1100-000003000000}">
      <formula1>1</formula1>
      <formula2>999999999999</formula2>
    </dataValidation>
  </dataValidations>
  <printOptions horizontalCentered="1" verticalCentered="1"/>
  <pageMargins left="0" right="0" top="0.19685039370078741" bottom="0.15748031496062992" header="0.19685039370078741" footer="0.19685039370078741"/>
  <pageSetup paperSize="9" scale="85"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2977" r:id="rId4" name="Drop Down 993">
              <controlPr defaultSize="0" autoLine="0" autoPict="0" altText="No">
                <anchor moveWithCells="1">
                  <from>
                    <xdr:col>4</xdr:col>
                    <xdr:colOff>38100</xdr:colOff>
                    <xdr:row>21</xdr:row>
                    <xdr:rowOff>66675</xdr:rowOff>
                  </from>
                  <to>
                    <xdr:col>4</xdr:col>
                    <xdr:colOff>428625</xdr:colOff>
                    <xdr:row>21</xdr:row>
                    <xdr:rowOff>257175</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W44"/>
  <sheetViews>
    <sheetView showGridLines="0" zoomScale="80" zoomScaleNormal="80" workbookViewId="0">
      <selection activeCell="C9" sqref="C9"/>
    </sheetView>
  </sheetViews>
  <sheetFormatPr defaultColWidth="12.6640625" defaultRowHeight="15" x14ac:dyDescent="0.2"/>
  <cols>
    <col min="1" max="1" width="65.6640625" style="767" customWidth="1"/>
    <col min="2" max="2" width="10.6640625" style="942" customWidth="1"/>
    <col min="3" max="3" width="20.6640625" style="987" customWidth="1"/>
    <col min="4" max="4" width="3.33203125" style="767" customWidth="1"/>
    <col min="5" max="5" width="65.6640625" style="767" customWidth="1"/>
    <col min="6" max="6" width="10.6640625" style="767" customWidth="1"/>
    <col min="7" max="7" width="20.6640625" style="767" customWidth="1"/>
    <col min="8" max="8" width="73.33203125" style="767" customWidth="1"/>
    <col min="9" max="14" width="12.6640625" style="767" customWidth="1"/>
    <col min="15" max="18" width="12.6640625" style="767" hidden="1" customWidth="1"/>
    <col min="19" max="19" width="5.5" style="767" hidden="1" customWidth="1"/>
    <col min="20" max="23" width="12.6640625" style="767" hidden="1" customWidth="1"/>
    <col min="24" max="16384" width="12.6640625" style="767"/>
  </cols>
  <sheetData>
    <row r="1" spans="1:23" s="821" customFormat="1" ht="43.5" customHeight="1" x14ac:dyDescent="0.2">
      <c r="A1" s="894" t="str">
        <f>'t1'!$A$1</f>
        <v>ENTI PUBBLICI NON ECONOMICI - anno 2024</v>
      </c>
      <c r="B1" s="895"/>
      <c r="C1" s="895"/>
      <c r="D1" s="895"/>
      <c r="E1" s="895"/>
      <c r="F1" s="895"/>
      <c r="G1" s="895"/>
      <c r="H1" s="896" t="s">
        <v>473</v>
      </c>
      <c r="Q1" s="897">
        <v>44</v>
      </c>
      <c r="R1" s="897" t="s">
        <v>630</v>
      </c>
    </row>
    <row r="2" spans="1:23" s="821" customFormat="1" ht="15.4" customHeight="1" x14ac:dyDescent="0.2">
      <c r="B2" s="898"/>
      <c r="N2"/>
      <c r="O2" s="822"/>
      <c r="P2" s="822"/>
      <c r="Q2" s="822"/>
      <c r="R2" s="899"/>
      <c r="S2" s="899"/>
      <c r="T2" s="822"/>
      <c r="U2" s="822"/>
      <c r="V2" s="822"/>
      <c r="W2" s="899"/>
    </row>
    <row r="3" spans="1:23" s="821" customFormat="1" ht="44.65" customHeight="1" x14ac:dyDescent="0.2">
      <c r="A3" s="900"/>
      <c r="B3" s="901"/>
      <c r="C3" s="901"/>
      <c r="D3" s="901"/>
      <c r="E3" s="901"/>
      <c r="F3" s="901"/>
      <c r="G3" s="901"/>
      <c r="N3"/>
      <c r="O3" s="902"/>
      <c r="P3" s="902"/>
      <c r="Q3" s="822"/>
      <c r="R3" s="899"/>
      <c r="S3" s="899"/>
      <c r="T3" s="902"/>
      <c r="U3" s="902"/>
      <c r="V3" s="822"/>
      <c r="W3" s="899"/>
    </row>
    <row r="4" spans="1:23" s="821" customFormat="1" ht="15.4" customHeight="1" thickBot="1" x14ac:dyDescent="0.25">
      <c r="B4" s="898"/>
      <c r="N4"/>
      <c r="O4" s="822"/>
      <c r="P4" s="822"/>
      <c r="Q4" s="822"/>
      <c r="R4" s="899"/>
      <c r="S4" s="899"/>
      <c r="T4" s="822"/>
      <c r="U4" s="822"/>
      <c r="V4" s="822"/>
      <c r="W4" s="899"/>
    </row>
    <row r="5" spans="1:23" s="821" customFormat="1" ht="25.5" customHeight="1" thickBot="1" x14ac:dyDescent="0.25">
      <c r="A5" s="903" t="s">
        <v>990</v>
      </c>
      <c r="B5" s="904"/>
      <c r="C5" s="905"/>
      <c r="D5" s="906"/>
      <c r="E5" s="903" t="s">
        <v>991</v>
      </c>
      <c r="F5" s="904"/>
      <c r="G5" s="905"/>
      <c r="H5" s="907" t="s">
        <v>631</v>
      </c>
      <c r="I5" s="908"/>
      <c r="J5" s="908"/>
      <c r="K5" s="908"/>
      <c r="L5" s="908"/>
      <c r="N5" s="909"/>
      <c r="O5" s="909"/>
      <c r="P5" s="909"/>
      <c r="Q5" s="909"/>
    </row>
    <row r="6" spans="1:23" s="821" customFormat="1" ht="18" customHeight="1" x14ac:dyDescent="0.2">
      <c r="A6" s="910" t="s">
        <v>115</v>
      </c>
      <c r="B6" s="911" t="s">
        <v>116</v>
      </c>
      <c r="C6" s="912" t="s">
        <v>230</v>
      </c>
      <c r="D6" s="913"/>
      <c r="E6" s="910" t="s">
        <v>115</v>
      </c>
      <c r="F6" s="914" t="s">
        <v>116</v>
      </c>
      <c r="G6" s="915" t="s">
        <v>230</v>
      </c>
      <c r="H6" s="1549" t="str">
        <f>IF(AND(SUMIF($S:$S,"SQ9",$R:$R)=0,ISBLANK('SICI(1)'!F13)),"OK",IF(AND(ABS(SUMIF($S:$S,"SQ9",$R:$R))&gt;0,ISBLANK('SICI(1)'!F13)),"Attenzione: inserire le voci di costituzione del fondo unicamente in presenza di certificazione dello stesso (cfr. SICI GEN196) !",IF(AND(SUMIF($S:$S,"SQ9",$R:$R)=0,'SICI(1)'!F13&gt;0),"Attenzione: in presenza di date di certificazione del fondo (cfr. SICI GEN196) è necessario compilare il lato costituzione di T15 !","OK")))</f>
        <v>OK</v>
      </c>
      <c r="I6" s="908"/>
      <c r="J6" s="908"/>
      <c r="K6" s="908"/>
      <c r="L6" s="908"/>
      <c r="M6" s="909"/>
      <c r="N6" s="909"/>
      <c r="O6" s="909"/>
      <c r="P6" s="909"/>
      <c r="Q6" s="909"/>
    </row>
    <row r="7" spans="1:23" s="821" customFormat="1" ht="17.100000000000001" customHeight="1" x14ac:dyDescent="0.25">
      <c r="A7" s="916" t="s">
        <v>632</v>
      </c>
      <c r="B7" s="917"/>
      <c r="C7" s="918"/>
      <c r="D7" s="919"/>
      <c r="E7" s="916" t="s">
        <v>632</v>
      </c>
      <c r="F7" s="917"/>
      <c r="G7" s="918"/>
      <c r="H7" s="1550"/>
      <c r="I7" s="908"/>
      <c r="J7" s="908"/>
      <c r="K7" s="908"/>
      <c r="L7" s="908"/>
      <c r="M7" s="909"/>
      <c r="N7" s="909"/>
      <c r="O7" s="763" t="s">
        <v>633</v>
      </c>
      <c r="P7" s="920"/>
      <c r="Q7" s="921"/>
      <c r="R7" s="921"/>
      <c r="S7" s="899"/>
      <c r="T7" s="763" t="s">
        <v>634</v>
      </c>
      <c r="U7" s="920"/>
      <c r="V7" s="921"/>
      <c r="W7" s="921"/>
    </row>
    <row r="8" spans="1:23" s="821" customFormat="1" ht="17.100000000000001" customHeight="1" x14ac:dyDescent="0.2">
      <c r="A8" s="922" t="s">
        <v>635</v>
      </c>
      <c r="B8" s="923"/>
      <c r="C8" s="924"/>
      <c r="D8" s="925"/>
      <c r="E8" s="926" t="s">
        <v>842</v>
      </c>
      <c r="F8" s="927"/>
      <c r="G8" s="928"/>
      <c r="H8" s="1550"/>
      <c r="I8" s="908"/>
      <c r="J8" s="908"/>
      <c r="K8" s="908"/>
      <c r="L8" s="908"/>
      <c r="M8" s="909"/>
      <c r="N8" s="909"/>
      <c r="O8" s="764" t="s">
        <v>636</v>
      </c>
      <c r="P8" s="764" t="s">
        <v>637</v>
      </c>
      <c r="Q8" s="764" t="s">
        <v>638</v>
      </c>
      <c r="R8" s="764" t="s">
        <v>639</v>
      </c>
      <c r="S8" s="899"/>
      <c r="T8" s="764" t="s">
        <v>636</v>
      </c>
      <c r="U8" s="764" t="s">
        <v>637</v>
      </c>
      <c r="V8" s="764" t="s">
        <v>638</v>
      </c>
      <c r="W8" s="764" t="s">
        <v>639</v>
      </c>
    </row>
    <row r="9" spans="1:23" s="821" customFormat="1" ht="17.100000000000001" customHeight="1" x14ac:dyDescent="0.2">
      <c r="A9" s="887" t="s">
        <v>765</v>
      </c>
      <c r="B9" s="912" t="s">
        <v>459</v>
      </c>
      <c r="C9" s="929"/>
      <c r="D9" s="913"/>
      <c r="E9" s="887" t="s">
        <v>893</v>
      </c>
      <c r="F9" s="912" t="s">
        <v>894</v>
      </c>
      <c r="G9" s="929"/>
      <c r="H9" s="1550"/>
      <c r="I9" s="908"/>
      <c r="J9" s="908"/>
      <c r="K9" s="908"/>
      <c r="L9" s="908"/>
      <c r="M9" s="909"/>
      <c r="N9" s="909"/>
      <c r="O9" s="898">
        <v>44</v>
      </c>
      <c r="P9" s="898">
        <v>7</v>
      </c>
      <c r="Q9" s="898" t="str">
        <f>B9</f>
        <v>F76G</v>
      </c>
      <c r="R9" s="930">
        <f>IF(ISNUMBER(C9),ROUND(C9,0),0)</f>
        <v>0</v>
      </c>
      <c r="S9" s="898" t="str">
        <f t="shared" ref="S9:S18" si="0">VLOOKUP(O9,$Q:$R,2,FALSE)</f>
        <v>SQ9</v>
      </c>
      <c r="T9" s="898">
        <v>44</v>
      </c>
      <c r="U9" s="898">
        <v>61</v>
      </c>
      <c r="V9" s="898" t="str">
        <f>F9</f>
        <v>U448</v>
      </c>
      <c r="W9" s="930">
        <f>IF(ISNUMBER(G9),ROUND(G9,0),0)</f>
        <v>0</v>
      </c>
    </row>
    <row r="10" spans="1:23" s="821" customFormat="1" ht="17.100000000000001" customHeight="1" x14ac:dyDescent="0.2">
      <c r="A10" s="887" t="s">
        <v>1092</v>
      </c>
      <c r="B10" s="912" t="s">
        <v>460</v>
      </c>
      <c r="C10" s="929"/>
      <c r="D10" s="913"/>
      <c r="E10" s="887" t="s">
        <v>576</v>
      </c>
      <c r="F10" s="912" t="s">
        <v>471</v>
      </c>
      <c r="G10" s="929"/>
      <c r="H10" s="1550"/>
      <c r="I10" s="908"/>
      <c r="J10" s="908"/>
      <c r="K10" s="908"/>
      <c r="L10" s="908"/>
      <c r="M10" s="909"/>
      <c r="N10" s="909"/>
      <c r="O10" s="898">
        <v>44</v>
      </c>
      <c r="P10" s="898">
        <v>7</v>
      </c>
      <c r="Q10" s="898" t="str">
        <f t="shared" ref="Q10:Q18" si="1">B10</f>
        <v>F05H</v>
      </c>
      <c r="R10" s="930">
        <f t="shared" ref="R10:R18" si="2">IF(ISNUMBER(C10),ROUND(C10,0),0)</f>
        <v>0</v>
      </c>
      <c r="S10" s="898" t="str">
        <f t="shared" si="0"/>
        <v>SQ9</v>
      </c>
      <c r="T10" s="898">
        <v>44</v>
      </c>
      <c r="U10" s="898">
        <v>61</v>
      </c>
      <c r="V10" s="898" t="str">
        <f>F10</f>
        <v>U449</v>
      </c>
      <c r="W10" s="930">
        <f>IF(ISNUMBER(G10),ROUND(G10,0),0)</f>
        <v>0</v>
      </c>
    </row>
    <row r="11" spans="1:23" s="821" customFormat="1" ht="17.100000000000001" customHeight="1" thickBot="1" x14ac:dyDescent="0.25">
      <c r="A11" s="887" t="s">
        <v>1093</v>
      </c>
      <c r="B11" s="912" t="s">
        <v>461</v>
      </c>
      <c r="C11" s="929"/>
      <c r="D11" s="913"/>
      <c r="E11" s="887" t="s">
        <v>943</v>
      </c>
      <c r="F11" s="912" t="s">
        <v>944</v>
      </c>
      <c r="G11" s="929"/>
      <c r="H11" s="1551"/>
      <c r="I11" s="908"/>
      <c r="J11" s="908"/>
      <c r="K11" s="908"/>
      <c r="L11" s="908"/>
      <c r="M11" s="909"/>
      <c r="N11" s="909"/>
      <c r="O11" s="898">
        <v>44</v>
      </c>
      <c r="P11" s="898">
        <v>7</v>
      </c>
      <c r="Q11" s="898" t="str">
        <f t="shared" si="1"/>
        <v>F06H</v>
      </c>
      <c r="R11" s="930">
        <f t="shared" si="2"/>
        <v>0</v>
      </c>
      <c r="S11" s="898" t="str">
        <f t="shared" si="0"/>
        <v>SQ9</v>
      </c>
      <c r="T11" s="898">
        <v>44</v>
      </c>
      <c r="U11" s="898">
        <v>61</v>
      </c>
      <c r="V11" s="898" t="str">
        <f>F11</f>
        <v>U02I</v>
      </c>
      <c r="W11" s="930">
        <f>IF(ISNUMBER(G11),ROUND(G11,0),0)</f>
        <v>0</v>
      </c>
    </row>
    <row r="12" spans="1:23" ht="17.100000000000001" customHeight="1" thickBot="1" x14ac:dyDescent="0.25">
      <c r="A12" s="887" t="s">
        <v>1094</v>
      </c>
      <c r="B12" s="932" t="s">
        <v>462</v>
      </c>
      <c r="C12" s="929"/>
      <c r="D12" s="913"/>
      <c r="E12" s="887" t="s">
        <v>908</v>
      </c>
      <c r="F12" s="951" t="s">
        <v>750</v>
      </c>
      <c r="G12" s="929"/>
      <c r="H12" s="935" t="s">
        <v>718</v>
      </c>
      <c r="I12" s="936"/>
      <c r="J12" s="936"/>
      <c r="K12" s="936"/>
      <c r="L12" s="936"/>
      <c r="O12" s="898">
        <v>44</v>
      </c>
      <c r="P12" s="898">
        <v>7</v>
      </c>
      <c r="Q12" s="898" t="str">
        <f t="shared" si="1"/>
        <v>F07H</v>
      </c>
      <c r="R12" s="930">
        <f t="shared" si="2"/>
        <v>0</v>
      </c>
      <c r="S12" s="898" t="str">
        <f t="shared" si="0"/>
        <v>SQ9</v>
      </c>
      <c r="T12" s="898">
        <v>44</v>
      </c>
      <c r="U12" s="898">
        <v>61</v>
      </c>
      <c r="V12" s="898" t="str">
        <f>F12</f>
        <v>U02S</v>
      </c>
      <c r="W12" s="930">
        <f>IF(ISNUMBER(G12),ROUND(G12,0),0)</f>
        <v>0</v>
      </c>
    </row>
    <row r="13" spans="1:23" ht="17.100000000000001" customHeight="1" x14ac:dyDescent="0.2">
      <c r="A13" s="887" t="s">
        <v>1095</v>
      </c>
      <c r="B13" s="932" t="s">
        <v>830</v>
      </c>
      <c r="C13" s="929"/>
      <c r="D13" s="913"/>
      <c r="E13" s="933" t="s">
        <v>568</v>
      </c>
      <c r="F13" s="934" t="s">
        <v>472</v>
      </c>
      <c r="G13" s="929"/>
      <c r="H13" s="1549" t="str">
        <f>IF(LEN(H17&amp;H18&amp;H19&amp;H20)&gt;0,"Attenzione, le seguenti voci creano incongruenza perché magg. del 10% del totale:","OK")</f>
        <v>OK</v>
      </c>
      <c r="I13" s="936"/>
      <c r="J13" s="936"/>
      <c r="K13" s="936"/>
      <c r="L13" s="936"/>
      <c r="O13" s="898">
        <v>44</v>
      </c>
      <c r="P13" s="898">
        <v>7</v>
      </c>
      <c r="Q13" s="898" t="str">
        <f t="shared" si="1"/>
        <v>F11V</v>
      </c>
      <c r="R13" s="930">
        <f t="shared" si="2"/>
        <v>0</v>
      </c>
      <c r="S13" s="898" t="str">
        <f t="shared" si="0"/>
        <v>SQ9</v>
      </c>
      <c r="T13" s="937">
        <v>44</v>
      </c>
      <c r="U13" s="937">
        <v>61</v>
      </c>
      <c r="V13" s="937" t="str">
        <f>F13</f>
        <v>U998</v>
      </c>
      <c r="W13" s="938">
        <f>IF(ISNUMBER(G13),ROUND(G13,0),0)</f>
        <v>0</v>
      </c>
    </row>
    <row r="14" spans="1:23" ht="17.100000000000001" customHeight="1" thickBot="1" x14ac:dyDescent="0.25">
      <c r="A14" s="931" t="s">
        <v>1151</v>
      </c>
      <c r="B14" s="932" t="s">
        <v>1096</v>
      </c>
      <c r="C14" s="929"/>
      <c r="D14" s="913"/>
      <c r="E14" s="939" t="s">
        <v>843</v>
      </c>
      <c r="F14" s="940"/>
      <c r="G14" s="941">
        <f>SUM(G9:G13)</f>
        <v>0</v>
      </c>
      <c r="H14" s="1552"/>
      <c r="I14" s="936"/>
      <c r="J14" s="936"/>
      <c r="K14" s="936"/>
      <c r="L14" s="936"/>
      <c r="O14" s="898">
        <v>44</v>
      </c>
      <c r="P14" s="898">
        <v>7</v>
      </c>
      <c r="Q14" s="898" t="str">
        <f t="shared" si="1"/>
        <v>F27J</v>
      </c>
      <c r="R14" s="930">
        <f t="shared" si="2"/>
        <v>0</v>
      </c>
      <c r="S14" s="898" t="str">
        <f t="shared" si="0"/>
        <v>SQ9</v>
      </c>
      <c r="T14" s="942" t="s">
        <v>531</v>
      </c>
      <c r="U14" s="942"/>
      <c r="V14" s="942"/>
      <c r="W14" s="942"/>
    </row>
    <row r="15" spans="1:23" ht="17.100000000000001" customHeight="1" thickBot="1" x14ac:dyDescent="0.25">
      <c r="A15" s="931" t="s">
        <v>795</v>
      </c>
      <c r="B15" s="932" t="s">
        <v>463</v>
      </c>
      <c r="C15" s="929"/>
      <c r="D15" s="913"/>
      <c r="E15" s="943" t="s">
        <v>566</v>
      </c>
      <c r="F15" s="944"/>
      <c r="G15" s="945">
        <f>G14</f>
        <v>0</v>
      </c>
      <c r="H15" s="946"/>
      <c r="I15" s="936"/>
      <c r="J15" s="936"/>
      <c r="K15" s="936"/>
      <c r="L15" s="936"/>
      <c r="O15" s="898">
        <v>44</v>
      </c>
      <c r="P15" s="898">
        <v>7</v>
      </c>
      <c r="Q15" s="898" t="str">
        <f t="shared" si="1"/>
        <v>F08H</v>
      </c>
      <c r="R15" s="930">
        <f>IF(ISNUMBER(C15),ROUND(C15,0),0)</f>
        <v>0</v>
      </c>
      <c r="S15" s="898" t="str">
        <f t="shared" si="0"/>
        <v>SQ9</v>
      </c>
      <c r="T15" s="942"/>
      <c r="U15" s="942"/>
      <c r="V15" s="942"/>
      <c r="W15" s="942"/>
    </row>
    <row r="16" spans="1:23" ht="17.100000000000001" customHeight="1" x14ac:dyDescent="0.2">
      <c r="A16" s="931" t="s">
        <v>796</v>
      </c>
      <c r="B16" s="932" t="s">
        <v>464</v>
      </c>
      <c r="C16" s="929"/>
      <c r="D16" s="913"/>
      <c r="E16" s="947"/>
      <c r="F16" s="948"/>
      <c r="G16" s="949"/>
      <c r="H16" s="946"/>
      <c r="I16" s="936"/>
      <c r="J16" s="936"/>
      <c r="K16" s="936"/>
      <c r="L16" s="936"/>
      <c r="O16" s="898">
        <v>44</v>
      </c>
      <c r="P16" s="898">
        <v>7</v>
      </c>
      <c r="Q16" s="898" t="str">
        <f t="shared" si="1"/>
        <v>F09H</v>
      </c>
      <c r="R16" s="930">
        <f t="shared" si="2"/>
        <v>0</v>
      </c>
      <c r="S16" s="898" t="str">
        <f t="shared" si="0"/>
        <v>SQ9</v>
      </c>
      <c r="T16" s="942"/>
      <c r="U16" s="942"/>
      <c r="V16" s="942"/>
      <c r="W16" s="942"/>
    </row>
    <row r="17" spans="1:23" ht="17.100000000000001" customHeight="1" x14ac:dyDescent="0.2">
      <c r="A17" s="887" t="s">
        <v>977</v>
      </c>
      <c r="B17" s="951" t="s">
        <v>844</v>
      </c>
      <c r="C17" s="929"/>
      <c r="D17" s="913"/>
      <c r="E17" s="947"/>
      <c r="F17" s="948"/>
      <c r="G17" s="949"/>
      <c r="H17" s="953" t="str">
        <f>IF(C40&lt;&gt;0,IF(R18/ABS(C$40)&gt;0.1,"Fondo posizione e risultato - Altre risorse fisse - F00O",""),"")</f>
        <v/>
      </c>
      <c r="I17" s="954"/>
      <c r="J17" s="954"/>
      <c r="K17" s="954"/>
      <c r="L17" s="954"/>
      <c r="O17" s="898">
        <v>44</v>
      </c>
      <c r="P17" s="898">
        <v>7</v>
      </c>
      <c r="Q17" s="898" t="str">
        <f t="shared" si="1"/>
        <v>F16L</v>
      </c>
      <c r="R17" s="930">
        <f t="shared" si="2"/>
        <v>0</v>
      </c>
      <c r="S17" s="898" t="str">
        <f t="shared" si="0"/>
        <v>SQ9</v>
      </c>
      <c r="T17" s="950"/>
      <c r="U17" s="950"/>
      <c r="V17" s="898"/>
      <c r="W17" s="930"/>
    </row>
    <row r="18" spans="1:23" ht="17.100000000000001" customHeight="1" x14ac:dyDescent="0.2">
      <c r="A18" s="887" t="s">
        <v>895</v>
      </c>
      <c r="B18" s="951" t="s">
        <v>896</v>
      </c>
      <c r="C18" s="929"/>
      <c r="D18" s="913"/>
      <c r="E18" s="952"/>
      <c r="F18" s="948"/>
      <c r="G18" s="949"/>
      <c r="H18" s="953" t="str">
        <f>IF(C40&lt;&gt;0,IF(R30/ABS(C$40)&gt;0.1,"Fondo posizione e risultato - Altre risorse variabili - F00O",""),"")</f>
        <v/>
      </c>
      <c r="I18" s="954"/>
      <c r="J18" s="954"/>
      <c r="K18" s="954"/>
      <c r="L18" s="954"/>
      <c r="O18" s="937">
        <v>44</v>
      </c>
      <c r="P18" s="937">
        <v>7</v>
      </c>
      <c r="Q18" s="937" t="str">
        <f t="shared" si="1"/>
        <v>F00O</v>
      </c>
      <c r="R18" s="938">
        <f t="shared" si="2"/>
        <v>0</v>
      </c>
      <c r="S18" s="898" t="str">
        <f t="shared" si="0"/>
        <v>SQ9</v>
      </c>
      <c r="T18" s="950"/>
      <c r="U18" s="950"/>
      <c r="V18" s="898"/>
      <c r="W18" s="930"/>
    </row>
    <row r="19" spans="1:23" ht="17.100000000000001" customHeight="1" thickBot="1" x14ac:dyDescent="0.25">
      <c r="A19" s="955" t="s">
        <v>345</v>
      </c>
      <c r="B19" s="940"/>
      <c r="C19" s="941">
        <f>SUM(C9:C18)</f>
        <v>0</v>
      </c>
      <c r="D19" s="913"/>
      <c r="E19" s="947"/>
      <c r="F19" s="948"/>
      <c r="G19" s="949"/>
      <c r="H19" s="953" t="str">
        <f>IF(C40&lt;&gt;0,IF(R37/ABS(C$40)&gt;0.1,"Fondo posizione e risultato - Altre decurtazioni - F01P",""),"")</f>
        <v/>
      </c>
      <c r="I19" s="954"/>
      <c r="J19" s="954"/>
      <c r="K19" s="954"/>
      <c r="L19" s="954"/>
      <c r="S19" s="956"/>
      <c r="U19" s="942"/>
      <c r="V19" s="942"/>
      <c r="W19" s="942"/>
    </row>
    <row r="20" spans="1:23" ht="17.100000000000001" customHeight="1" x14ac:dyDescent="0.2">
      <c r="A20" s="957" t="s">
        <v>346</v>
      </c>
      <c r="B20" s="958"/>
      <c r="C20" s="959"/>
      <c r="D20" s="913"/>
      <c r="E20" s="947"/>
      <c r="F20" s="948"/>
      <c r="G20" s="949"/>
      <c r="H20" s="953" t="str">
        <f>IF(G15&lt;&gt;0,IF(W13/ABS(G15)&gt;0.1,"Fondo posizione e risultato - Altre destinazioni - U998",""),"")</f>
        <v/>
      </c>
      <c r="I20" s="954"/>
      <c r="J20" s="954"/>
      <c r="K20" s="954"/>
      <c r="L20" s="954"/>
      <c r="T20" s="942"/>
      <c r="U20" s="942"/>
      <c r="V20" s="942"/>
      <c r="W20" s="942"/>
    </row>
    <row r="21" spans="1:23" ht="17.100000000000001" customHeight="1" thickBot="1" x14ac:dyDescent="0.25">
      <c r="A21" s="887" t="s">
        <v>732</v>
      </c>
      <c r="B21" s="912" t="s">
        <v>465</v>
      </c>
      <c r="C21" s="929"/>
      <c r="D21" s="913"/>
      <c r="E21" s="947"/>
      <c r="F21" s="948"/>
      <c r="G21" s="949"/>
      <c r="H21" s="960"/>
      <c r="I21" s="961"/>
      <c r="J21" s="961"/>
      <c r="K21" s="961"/>
      <c r="L21" s="961"/>
      <c r="O21" s="950">
        <v>44</v>
      </c>
      <c r="P21" s="950">
        <v>9</v>
      </c>
      <c r="Q21" s="898" t="str">
        <f>B21</f>
        <v>F50H</v>
      </c>
      <c r="R21" s="930">
        <f>IF(ISNUMBER(C21),ROUND(C21,0),0)</f>
        <v>0</v>
      </c>
      <c r="S21" s="898" t="str">
        <f t="shared" ref="S21:S30" si="3">VLOOKUP(O21,$Q:$R,2,FALSE)</f>
        <v>SQ9</v>
      </c>
      <c r="T21" s="942"/>
      <c r="U21" s="942"/>
      <c r="V21" s="942"/>
      <c r="W21" s="942"/>
    </row>
    <row r="22" spans="1:23" ht="17.100000000000001" customHeight="1" thickBot="1" x14ac:dyDescent="0.25">
      <c r="A22" s="962" t="s">
        <v>733</v>
      </c>
      <c r="B22" s="912" t="s">
        <v>466</v>
      </c>
      <c r="C22" s="929"/>
      <c r="D22" s="913"/>
      <c r="E22" s="947"/>
      <c r="F22" s="948"/>
      <c r="G22" s="949"/>
      <c r="H22" s="935" t="s">
        <v>992</v>
      </c>
      <c r="I22" s="961"/>
      <c r="J22" s="961"/>
      <c r="K22" s="961"/>
      <c r="L22" s="961"/>
      <c r="O22" s="950">
        <v>44</v>
      </c>
      <c r="P22" s="950">
        <v>9</v>
      </c>
      <c r="Q22" s="898" t="str">
        <f t="shared" ref="Q22:Q30" si="4">B22</f>
        <v>F51H</v>
      </c>
      <c r="R22" s="930">
        <f t="shared" ref="R22:R30" si="5">IF(ISNUMBER(C22),ROUND(C22,0),0)</f>
        <v>0</v>
      </c>
      <c r="S22" s="898" t="str">
        <f t="shared" si="3"/>
        <v>SQ9</v>
      </c>
      <c r="T22" s="942"/>
      <c r="U22" s="942"/>
      <c r="V22" s="942"/>
      <c r="W22" s="942"/>
    </row>
    <row r="23" spans="1:23" ht="17.100000000000001" customHeight="1" x14ac:dyDescent="0.2">
      <c r="A23" s="931" t="s">
        <v>798</v>
      </c>
      <c r="B23" s="932" t="s">
        <v>467</v>
      </c>
      <c r="C23" s="929"/>
      <c r="D23" s="913"/>
      <c r="E23" s="947"/>
      <c r="F23" s="948"/>
      <c r="G23" s="949"/>
      <c r="H23" s="1552" t="str">
        <f>IF(AND(SUMIF($O:$O,$Q1,$R:$R)&lt;&gt;0,SUM('SICI(1)'!$F$13)&gt;0),IF(SUMIFS($R:$R,$P:$P,"&lt;&gt;81",$O:$O,$Q1)-SUMIFS($R:$R,$P:$P,"81",$O:$O,$Q1)-SUMIF($T:$T,$Q1,$W:$W)&lt;0,"Attenzione, nelle seguenti sezioni le destinazioni risultano superiori alle relative risorse e generano pertanto squadratura 8: "&amp;CHAR(10)&amp;A7,"OK"),"OK")</f>
        <v>OK</v>
      </c>
      <c r="I23" s="954"/>
      <c r="J23" s="954"/>
      <c r="K23" s="954"/>
      <c r="L23" s="954"/>
      <c r="O23" s="950">
        <v>44</v>
      </c>
      <c r="P23" s="950">
        <v>9</v>
      </c>
      <c r="Q23" s="898" t="str">
        <f t="shared" si="4"/>
        <v>F54B</v>
      </c>
      <c r="R23" s="930">
        <f t="shared" si="5"/>
        <v>0</v>
      </c>
      <c r="S23" s="898" t="str">
        <f t="shared" si="3"/>
        <v>SQ9</v>
      </c>
      <c r="T23" s="942"/>
      <c r="U23" s="942"/>
      <c r="V23" s="942"/>
      <c r="W23" s="942"/>
    </row>
    <row r="24" spans="1:23" ht="17.100000000000001" customHeight="1" x14ac:dyDescent="0.2">
      <c r="A24" s="931" t="s">
        <v>897</v>
      </c>
      <c r="B24" s="932" t="s">
        <v>898</v>
      </c>
      <c r="C24" s="929"/>
      <c r="D24" s="913"/>
      <c r="E24" s="947"/>
      <c r="F24" s="948"/>
      <c r="G24" s="949"/>
      <c r="H24" s="1552"/>
      <c r="I24" s="954"/>
      <c r="J24" s="954"/>
      <c r="K24" s="954"/>
      <c r="L24" s="954"/>
      <c r="O24" s="950">
        <v>44</v>
      </c>
      <c r="P24" s="950">
        <v>9</v>
      </c>
      <c r="Q24" s="898" t="str">
        <f t="shared" si="4"/>
        <v>F19S</v>
      </c>
      <c r="R24" s="930">
        <f t="shared" si="5"/>
        <v>0</v>
      </c>
      <c r="S24" s="898" t="str">
        <f t="shared" si="3"/>
        <v>SQ9</v>
      </c>
      <c r="T24" s="942"/>
      <c r="U24" s="942"/>
      <c r="V24" s="942"/>
      <c r="W24" s="942"/>
    </row>
    <row r="25" spans="1:23" ht="17.100000000000001" customHeight="1" x14ac:dyDescent="0.2">
      <c r="A25" s="931" t="s">
        <v>1097</v>
      </c>
      <c r="B25" s="932" t="s">
        <v>829</v>
      </c>
      <c r="C25" s="929"/>
      <c r="D25" s="913"/>
      <c r="E25" s="947"/>
      <c r="F25" s="948"/>
      <c r="G25" s="949"/>
      <c r="H25" s="1552"/>
      <c r="I25" s="954"/>
      <c r="J25" s="954"/>
      <c r="K25" s="954"/>
      <c r="L25" s="954"/>
      <c r="O25" s="950">
        <v>44</v>
      </c>
      <c r="P25" s="950">
        <v>9</v>
      </c>
      <c r="Q25" s="898" t="str">
        <f t="shared" si="4"/>
        <v>F11W</v>
      </c>
      <c r="R25" s="930">
        <f t="shared" si="5"/>
        <v>0</v>
      </c>
      <c r="S25" s="898" t="str">
        <f t="shared" si="3"/>
        <v>SQ9</v>
      </c>
      <c r="T25" s="942"/>
      <c r="U25" s="942"/>
      <c r="V25" s="942"/>
      <c r="W25" s="942"/>
    </row>
    <row r="26" spans="1:23" ht="17.100000000000001" customHeight="1" thickBot="1" x14ac:dyDescent="0.25">
      <c r="A26" s="931" t="s">
        <v>945</v>
      </c>
      <c r="B26" s="932" t="s">
        <v>468</v>
      </c>
      <c r="C26" s="929"/>
      <c r="D26" s="913"/>
      <c r="E26" s="947"/>
      <c r="F26" s="948"/>
      <c r="G26" s="949"/>
      <c r="H26" s="1553"/>
      <c r="I26" s="954"/>
      <c r="J26" s="954"/>
      <c r="K26" s="954"/>
      <c r="L26" s="954"/>
      <c r="O26" s="950">
        <v>44</v>
      </c>
      <c r="P26" s="950">
        <v>9</v>
      </c>
      <c r="Q26" s="898" t="str">
        <f t="shared" si="4"/>
        <v>F10H</v>
      </c>
      <c r="R26" s="930">
        <f t="shared" si="5"/>
        <v>0</v>
      </c>
      <c r="S26" s="898" t="str">
        <f t="shared" si="3"/>
        <v>SQ9</v>
      </c>
      <c r="T26" s="942"/>
      <c r="U26" s="942"/>
      <c r="V26" s="942"/>
      <c r="W26" s="942"/>
    </row>
    <row r="27" spans="1:23" ht="17.100000000000001" customHeight="1" x14ac:dyDescent="0.2">
      <c r="A27" s="931" t="s">
        <v>797</v>
      </c>
      <c r="B27" s="932" t="s">
        <v>469</v>
      </c>
      <c r="C27" s="929"/>
      <c r="D27" s="913"/>
      <c r="E27" s="947"/>
      <c r="F27" s="948"/>
      <c r="G27" s="949"/>
      <c r="H27" s="963"/>
      <c r="I27" s="954"/>
      <c r="J27" s="954"/>
      <c r="K27" s="954"/>
      <c r="L27" s="954"/>
      <c r="O27" s="950">
        <v>44</v>
      </c>
      <c r="P27" s="950">
        <v>9</v>
      </c>
      <c r="Q27" s="898" t="str">
        <f t="shared" si="4"/>
        <v>F15H</v>
      </c>
      <c r="R27" s="930">
        <f t="shared" si="5"/>
        <v>0</v>
      </c>
      <c r="S27" s="898" t="str">
        <f t="shared" si="3"/>
        <v>SQ9</v>
      </c>
      <c r="T27" s="942"/>
      <c r="U27" s="942"/>
      <c r="V27" s="942"/>
      <c r="W27" s="942"/>
    </row>
    <row r="28" spans="1:23" ht="17.100000000000001" customHeight="1" x14ac:dyDescent="0.2">
      <c r="A28" s="887" t="s">
        <v>1098</v>
      </c>
      <c r="B28" s="1356" t="s">
        <v>1099</v>
      </c>
      <c r="C28" s="929"/>
      <c r="D28" s="913"/>
      <c r="E28" s="947"/>
      <c r="F28" s="948"/>
      <c r="G28" s="949"/>
      <c r="H28" s="963"/>
      <c r="I28" s="954"/>
      <c r="J28" s="954"/>
      <c r="K28" s="954"/>
      <c r="L28" s="954"/>
      <c r="O28" s="950">
        <v>44</v>
      </c>
      <c r="P28" s="950">
        <v>9</v>
      </c>
      <c r="Q28" s="898" t="str">
        <f>B28</f>
        <v>F24T</v>
      </c>
      <c r="R28" s="930">
        <f>IF(ISNUMBER(C28),ROUND(C28,0),0)</f>
        <v>0</v>
      </c>
      <c r="S28" s="898" t="str">
        <f t="shared" si="3"/>
        <v>SQ9</v>
      </c>
      <c r="T28" s="942"/>
      <c r="U28" s="942"/>
      <c r="V28" s="942"/>
      <c r="W28" s="942"/>
    </row>
    <row r="29" spans="1:23" ht="17.100000000000001" customHeight="1" x14ac:dyDescent="0.2">
      <c r="A29" s="887" t="s">
        <v>1100</v>
      </c>
      <c r="B29" s="951" t="s">
        <v>470</v>
      </c>
      <c r="C29" s="929"/>
      <c r="D29" s="913"/>
      <c r="E29" s="947"/>
      <c r="F29" s="948"/>
      <c r="G29" s="949"/>
      <c r="H29" s="963"/>
      <c r="I29" s="954"/>
      <c r="J29" s="954"/>
      <c r="K29" s="954"/>
      <c r="L29" s="954"/>
      <c r="O29" s="950">
        <v>44</v>
      </c>
      <c r="P29" s="950">
        <v>9</v>
      </c>
      <c r="Q29" s="898" t="str">
        <f t="shared" si="4"/>
        <v>F999</v>
      </c>
      <c r="R29" s="930">
        <f t="shared" si="5"/>
        <v>0</v>
      </c>
      <c r="S29" s="898" t="str">
        <f t="shared" si="3"/>
        <v>SQ9</v>
      </c>
      <c r="T29" s="942"/>
      <c r="U29" s="942"/>
      <c r="V29" s="942"/>
      <c r="W29" s="942"/>
    </row>
    <row r="30" spans="1:23" ht="17.100000000000001" customHeight="1" x14ac:dyDescent="0.2">
      <c r="A30" s="887" t="s">
        <v>895</v>
      </c>
      <c r="B30" s="951" t="s">
        <v>896</v>
      </c>
      <c r="C30" s="929"/>
      <c r="D30" s="913"/>
      <c r="E30" s="947"/>
      <c r="F30" s="948"/>
      <c r="G30" s="949"/>
      <c r="H30" s="963"/>
      <c r="I30" s="954"/>
      <c r="J30" s="954"/>
      <c r="K30" s="954"/>
      <c r="L30" s="954"/>
      <c r="O30" s="964">
        <v>44</v>
      </c>
      <c r="P30" s="964">
        <v>9</v>
      </c>
      <c r="Q30" s="937" t="str">
        <f t="shared" si="4"/>
        <v>F00O</v>
      </c>
      <c r="R30" s="938">
        <f t="shared" si="5"/>
        <v>0</v>
      </c>
      <c r="S30" s="898" t="str">
        <f t="shared" si="3"/>
        <v>SQ9</v>
      </c>
      <c r="T30" s="942"/>
      <c r="U30" s="942"/>
      <c r="V30" s="942"/>
      <c r="W30" s="942"/>
    </row>
    <row r="31" spans="1:23" ht="17.100000000000001" customHeight="1" x14ac:dyDescent="0.2">
      <c r="A31" s="965" t="s">
        <v>347</v>
      </c>
      <c r="B31" s="966"/>
      <c r="C31" s="967">
        <f>SUM(C21:C30)</f>
        <v>0</v>
      </c>
      <c r="D31" s="913"/>
      <c r="E31" s="947"/>
      <c r="F31" s="948"/>
      <c r="G31" s="949"/>
      <c r="H31" s="963"/>
      <c r="I31" s="954"/>
      <c r="J31" s="954"/>
      <c r="K31" s="954"/>
      <c r="L31" s="954"/>
      <c r="O31" s="950"/>
      <c r="P31" s="950"/>
      <c r="Q31" s="898"/>
      <c r="R31" s="930"/>
      <c r="S31" s="898"/>
      <c r="T31" s="942"/>
      <c r="U31" s="942"/>
      <c r="V31" s="942"/>
      <c r="W31" s="942"/>
    </row>
    <row r="32" spans="1:23" ht="17.100000000000001" customHeight="1" x14ac:dyDescent="0.2">
      <c r="A32" s="968" t="s">
        <v>713</v>
      </c>
      <c r="B32" s="969"/>
      <c r="C32" s="970"/>
      <c r="D32" s="913"/>
      <c r="E32" s="947"/>
      <c r="F32" s="948"/>
      <c r="G32" s="949"/>
      <c r="H32" s="963"/>
      <c r="I32" s="954"/>
      <c r="J32" s="954"/>
      <c r="K32" s="954"/>
      <c r="L32" s="954"/>
      <c r="T32" s="942"/>
      <c r="U32" s="942"/>
      <c r="V32" s="942"/>
      <c r="W32" s="942"/>
    </row>
    <row r="33" spans="1:23" ht="17.100000000000001" customHeight="1" x14ac:dyDescent="0.2">
      <c r="A33" s="887" t="s">
        <v>738</v>
      </c>
      <c r="B33" s="912" t="s">
        <v>714</v>
      </c>
      <c r="C33" s="929"/>
      <c r="D33" s="913"/>
      <c r="E33" s="947"/>
      <c r="F33" s="948"/>
      <c r="G33" s="949"/>
      <c r="H33" s="963"/>
      <c r="I33" s="954"/>
      <c r="J33" s="954"/>
      <c r="K33" s="954"/>
      <c r="L33" s="954"/>
      <c r="O33" s="973">
        <v>44</v>
      </c>
      <c r="P33" s="973">
        <v>81</v>
      </c>
      <c r="Q33" s="898" t="str">
        <f>B33</f>
        <v>F02P</v>
      </c>
      <c r="R33" s="930">
        <f>IF(ISNUMBER(C33),ROUND(C33,0),0)</f>
        <v>0</v>
      </c>
      <c r="S33" s="898" t="str">
        <f>VLOOKUP(O33,$Q:$R,2,FALSE)</f>
        <v>SQ9</v>
      </c>
      <c r="T33" s="942"/>
      <c r="U33" s="942"/>
      <c r="V33" s="942"/>
      <c r="W33" s="942"/>
    </row>
    <row r="34" spans="1:23" ht="17.100000000000001" customHeight="1" x14ac:dyDescent="0.2">
      <c r="A34" s="887" t="s">
        <v>739</v>
      </c>
      <c r="B34" s="912" t="s">
        <v>599</v>
      </c>
      <c r="C34" s="929"/>
      <c r="D34" s="913"/>
      <c r="E34" s="971"/>
      <c r="F34" s="972"/>
      <c r="G34" s="949"/>
      <c r="H34" s="963"/>
      <c r="I34" s="954"/>
      <c r="J34" s="954"/>
      <c r="K34" s="954"/>
      <c r="L34" s="954"/>
      <c r="O34" s="973">
        <v>44</v>
      </c>
      <c r="P34" s="973">
        <v>81</v>
      </c>
      <c r="Q34" s="898" t="str">
        <f>B34</f>
        <v>F27I</v>
      </c>
      <c r="R34" s="930">
        <f>IF(ISNUMBER(C34),ROUND(C34,0),0)</f>
        <v>0</v>
      </c>
      <c r="S34" s="898" t="str">
        <f>VLOOKUP(O34,$Q:$R,2,FALSE)</f>
        <v>SQ9</v>
      </c>
      <c r="T34" s="942"/>
      <c r="U34" s="942"/>
      <c r="V34" s="942"/>
      <c r="W34" s="942"/>
    </row>
    <row r="35" spans="1:23" ht="17.100000000000001" customHeight="1" x14ac:dyDescent="0.2">
      <c r="A35" s="887" t="s">
        <v>784</v>
      </c>
      <c r="B35" s="912" t="s">
        <v>715</v>
      </c>
      <c r="C35" s="929"/>
      <c r="D35" s="913"/>
      <c r="E35" s="971"/>
      <c r="F35" s="972"/>
      <c r="G35" s="949"/>
      <c r="H35" s="963"/>
      <c r="I35" s="954"/>
      <c r="J35" s="954"/>
      <c r="K35" s="954"/>
      <c r="L35" s="954"/>
      <c r="O35" s="973">
        <v>44</v>
      </c>
      <c r="P35" s="973">
        <v>81</v>
      </c>
      <c r="Q35" s="898" t="str">
        <f>B35</f>
        <v>F00P</v>
      </c>
      <c r="R35" s="930">
        <f>IF(ISNUMBER(C35),ROUND(C35,0),0)</f>
        <v>0</v>
      </c>
      <c r="S35" s="898" t="str">
        <f>VLOOKUP(O35,$Q:$R,2,FALSE)</f>
        <v>SQ9</v>
      </c>
      <c r="T35" s="942"/>
      <c r="U35" s="942"/>
      <c r="V35" s="942"/>
      <c r="W35" s="942"/>
    </row>
    <row r="36" spans="1:23" ht="17.25" customHeight="1" x14ac:dyDescent="0.2">
      <c r="A36" s="887" t="s">
        <v>740</v>
      </c>
      <c r="B36" s="974" t="s">
        <v>741</v>
      </c>
      <c r="C36" s="929"/>
      <c r="D36" s="913"/>
      <c r="E36" s="971"/>
      <c r="F36" s="972"/>
      <c r="G36" s="949"/>
      <c r="H36" s="963"/>
      <c r="I36" s="954"/>
      <c r="J36" s="954"/>
      <c r="K36" s="954"/>
      <c r="L36" s="954"/>
      <c r="O36" s="973">
        <v>44</v>
      </c>
      <c r="P36" s="973">
        <v>81</v>
      </c>
      <c r="Q36" s="898" t="str">
        <f>B36</f>
        <v>F01S</v>
      </c>
      <c r="R36" s="930">
        <f>IF(ISNUMBER(C36),ROUND(C36,0),0)</f>
        <v>0</v>
      </c>
      <c r="S36" s="898" t="str">
        <f>VLOOKUP(O36,$Q:$R,2,FALSE)</f>
        <v>SQ9</v>
      </c>
      <c r="T36" s="942"/>
      <c r="U36" s="942"/>
      <c r="V36" s="942"/>
      <c r="W36" s="942"/>
    </row>
    <row r="37" spans="1:23" ht="17.25" customHeight="1" x14ac:dyDescent="0.2">
      <c r="A37" s="887" t="s">
        <v>899</v>
      </c>
      <c r="B37" s="951" t="s">
        <v>716</v>
      </c>
      <c r="C37" s="929"/>
      <c r="D37" s="913"/>
      <c r="E37" s="971"/>
      <c r="F37" s="972"/>
      <c r="G37" s="949"/>
      <c r="H37" s="954"/>
      <c r="I37" s="954"/>
      <c r="J37" s="954"/>
      <c r="K37" s="954"/>
      <c r="L37" s="954"/>
      <c r="O37" s="975">
        <v>44</v>
      </c>
      <c r="P37" s="975">
        <v>81</v>
      </c>
      <c r="Q37" s="937" t="str">
        <f>B37</f>
        <v>F01P</v>
      </c>
      <c r="R37" s="938">
        <f>IF(ISNUMBER(C37),ROUND(C37,0),0)</f>
        <v>0</v>
      </c>
      <c r="S37" s="898" t="str">
        <f>VLOOKUP(O37,$Q:$R,2,FALSE)</f>
        <v>SQ9</v>
      </c>
      <c r="T37" s="942"/>
      <c r="U37" s="942"/>
      <c r="V37" s="942"/>
      <c r="W37" s="942"/>
    </row>
    <row r="38" spans="1:23" ht="16.899999999999999" customHeight="1" thickBot="1" x14ac:dyDescent="0.25">
      <c r="A38" s="955" t="s">
        <v>717</v>
      </c>
      <c r="B38" s="940"/>
      <c r="C38" s="976">
        <f>SUM(C33:C37)</f>
        <v>0</v>
      </c>
      <c r="D38" s="913"/>
      <c r="E38" s="971"/>
      <c r="F38" s="972"/>
      <c r="G38" s="949"/>
      <c r="H38" s="954"/>
      <c r="I38" s="954"/>
      <c r="J38" s="954"/>
      <c r="K38" s="954"/>
      <c r="L38" s="954"/>
      <c r="O38" s="898" t="s">
        <v>531</v>
      </c>
      <c r="P38" s="942"/>
      <c r="Q38" s="942"/>
      <c r="R38" s="942"/>
      <c r="S38" s="942"/>
      <c r="T38" s="942"/>
      <c r="U38" s="942"/>
      <c r="V38" s="942"/>
      <c r="W38" s="942"/>
    </row>
    <row r="39" spans="1:23" s="981" customFormat="1" ht="17.25" customHeight="1" thickBot="1" x14ac:dyDescent="0.25">
      <c r="A39" s="943" t="s">
        <v>566</v>
      </c>
      <c r="B39" s="977"/>
      <c r="C39" s="945">
        <f>C19+C31-C38</f>
        <v>0</v>
      </c>
      <c r="D39" s="925"/>
      <c r="E39" s="978"/>
      <c r="F39" s="979"/>
      <c r="G39" s="980"/>
      <c r="H39" s="954"/>
      <c r="T39" s="942"/>
      <c r="U39" s="942"/>
      <c r="V39" s="942"/>
      <c r="W39" s="942"/>
    </row>
    <row r="40" spans="1:23" ht="17.100000000000001" customHeight="1" thickBot="1" x14ac:dyDescent="0.25">
      <c r="A40" s="983" t="s">
        <v>900</v>
      </c>
      <c r="B40" s="984"/>
      <c r="C40" s="945">
        <f>C39</f>
        <v>0</v>
      </c>
      <c r="E40" s="985" t="s">
        <v>901</v>
      </c>
      <c r="F40" s="984"/>
      <c r="G40" s="945">
        <f>G15</f>
        <v>0</v>
      </c>
      <c r="H40" s="981"/>
      <c r="O40" s="982"/>
      <c r="P40" s="982"/>
      <c r="Q40" s="982"/>
      <c r="R40" s="986"/>
      <c r="S40" s="982"/>
      <c r="T40" s="982"/>
      <c r="U40" s="982"/>
      <c r="V40" s="982"/>
      <c r="W40" s="982"/>
    </row>
    <row r="41" spans="1:23" ht="4.9000000000000004" customHeight="1" x14ac:dyDescent="0.2">
      <c r="C41" s="821"/>
    </row>
    <row r="42" spans="1:23" x14ac:dyDescent="0.2">
      <c r="A42" s="821" t="s">
        <v>993</v>
      </c>
      <c r="B42" s="898"/>
      <c r="E42" s="821"/>
      <c r="F42" s="821"/>
      <c r="G42" s="821"/>
    </row>
    <row r="43" spans="1:23" x14ac:dyDescent="0.2">
      <c r="A43" s="821" t="s">
        <v>1101</v>
      </c>
    </row>
    <row r="44" spans="1:23" x14ac:dyDescent="0.2">
      <c r="A44" s="821" t="s">
        <v>1007</v>
      </c>
    </row>
  </sheetData>
  <sheetProtection algorithmName="SHA-512" hashValue="AMr6Lb0//jqpPSw1dM+Lb7VWaSGBpDsc6aPsOTXhxkt8dA98nuDrXh43hOiV+VkEE0h5mElHxX/W/nTul+uKVA==" saltValue="XKzihVvHfJBjgznJGwUtsg==" spinCount="100000" sheet="1" formatColumns="0" selectLockedCells="1"/>
  <mergeCells count="3">
    <mergeCell ref="H6:H11"/>
    <mergeCell ref="H13:H14"/>
    <mergeCell ref="H23:H26"/>
  </mergeCells>
  <dataValidations count="2">
    <dataValidation type="whole" allowBlank="1" showInputMessage="1" showErrorMessage="1" errorTitle="ERRORE NEL DATO IMMESSO" error="INSERIRE SOLO NUMERI INTERI" sqref="C21:C30 C9:C18 C32:C37 G9:G13" xr:uid="{F19E69BA-7EC9-419E-A366-4CB4FF416C68}">
      <formula1>0</formula1>
      <formula2>999999999999</formula2>
    </dataValidation>
    <dataValidation type="whole" allowBlank="1" showInputMessage="1" showErrorMessage="1" errorTitle="ERRORE NEL DATO IMMESSO" error="INSERIRE SOLO NUMERI INTERI" sqref="C19 G14:G16 C31 C38 G34:G39" xr:uid="{B600ECD7-7E45-4A21-8DDD-C85E030A2F19}">
      <formula1>-999999999999</formula1>
      <formula2>999999999999</formula2>
    </dataValidation>
  </dataValidations>
  <printOptions horizontalCentered="1"/>
  <pageMargins left="0.39370078740157483" right="0.39370078740157483" top="0.78740157480314965" bottom="0.39370078740157483" header="0.51181102362204722" footer="0.15748031496062992"/>
  <pageSetup paperSize="9" scale="61" orientation="portrait" horizontalDpi="300" verticalDpi="4294967292"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W47"/>
  <sheetViews>
    <sheetView showGridLines="0" zoomScale="80" zoomScaleNormal="80" workbookViewId="0">
      <selection activeCell="C9" sqref="C9"/>
    </sheetView>
  </sheetViews>
  <sheetFormatPr defaultColWidth="12.6640625" defaultRowHeight="11.25" x14ac:dyDescent="0.2"/>
  <cols>
    <col min="1" max="1" width="65.6640625" style="821" customWidth="1"/>
    <col min="2" max="2" width="10.6640625" style="898" customWidth="1"/>
    <col min="3" max="3" width="20.6640625" style="821" customWidth="1"/>
    <col min="4" max="4" width="3.33203125" style="821" customWidth="1"/>
    <col min="5" max="5" width="65.6640625" style="821" customWidth="1"/>
    <col min="6" max="6" width="10.6640625" style="821" customWidth="1"/>
    <col min="7" max="7" width="20.6640625" style="821" customWidth="1"/>
    <col min="8" max="8" width="73.33203125" style="821" customWidth="1"/>
    <col min="9" max="14" width="12.6640625" style="821" customWidth="1"/>
    <col min="15" max="18" width="12.6640625" style="821" hidden="1" customWidth="1"/>
    <col min="19" max="19" width="5.1640625" style="821" hidden="1" customWidth="1"/>
    <col min="20" max="23" width="12.6640625" style="821" hidden="1" customWidth="1"/>
    <col min="24" max="16384" width="12.6640625" style="821"/>
  </cols>
  <sheetData>
    <row r="1" spans="1:23" ht="43.5" customHeight="1" x14ac:dyDescent="0.2">
      <c r="A1" s="894" t="str">
        <f>'t1'!$A$1</f>
        <v>ENTI PUBBLICI NON ECONOMICI - anno 2024</v>
      </c>
      <c r="B1" s="895"/>
      <c r="C1" s="895"/>
      <c r="D1" s="895"/>
      <c r="E1" s="895"/>
      <c r="F1" s="895"/>
      <c r="G1" s="895"/>
      <c r="H1" s="896" t="s">
        <v>456</v>
      </c>
      <c r="Q1" s="897">
        <v>44</v>
      </c>
      <c r="R1" s="897" t="s">
        <v>630</v>
      </c>
    </row>
    <row r="2" spans="1:23" ht="15.4" customHeight="1" x14ac:dyDescent="0.2">
      <c r="N2"/>
      <c r="O2" s="822"/>
      <c r="P2" s="822"/>
      <c r="Q2" s="822"/>
      <c r="R2" s="899"/>
      <c r="S2" s="899"/>
      <c r="T2" s="822"/>
      <c r="U2" s="822"/>
      <c r="V2" s="822"/>
      <c r="W2" s="899"/>
    </row>
    <row r="3" spans="1:23" ht="44.65" customHeight="1" x14ac:dyDescent="0.2">
      <c r="A3" s="900"/>
      <c r="B3" s="901"/>
      <c r="C3" s="901"/>
      <c r="D3" s="901"/>
      <c r="E3" s="901"/>
      <c r="F3" s="901"/>
      <c r="G3" s="901"/>
      <c r="N3"/>
      <c r="O3" s="902"/>
      <c r="P3" s="902"/>
      <c r="Q3" s="822"/>
      <c r="R3" s="899"/>
      <c r="S3" s="899"/>
      <c r="T3" s="902"/>
      <c r="U3" s="902"/>
      <c r="V3" s="822"/>
      <c r="W3" s="899"/>
    </row>
    <row r="4" spans="1:23" ht="15.4" customHeight="1" thickBot="1" x14ac:dyDescent="0.25">
      <c r="N4"/>
      <c r="O4" s="822"/>
      <c r="P4" s="822"/>
      <c r="Q4" s="822"/>
      <c r="R4" s="899"/>
      <c r="S4" s="899"/>
      <c r="T4" s="822"/>
      <c r="U4" s="822"/>
      <c r="V4" s="822"/>
      <c r="W4" s="899"/>
    </row>
    <row r="5" spans="1:23" ht="25.5" customHeight="1" thickBot="1" x14ac:dyDescent="0.25">
      <c r="A5" s="903" t="s">
        <v>990</v>
      </c>
      <c r="B5" s="904"/>
      <c r="C5" s="905"/>
      <c r="D5" s="906"/>
      <c r="E5" s="903" t="s">
        <v>991</v>
      </c>
      <c r="F5" s="904"/>
      <c r="G5" s="905"/>
      <c r="H5" s="907" t="s">
        <v>631</v>
      </c>
      <c r="I5" s="908"/>
      <c r="J5" s="908"/>
      <c r="K5" s="908"/>
      <c r="L5" s="908"/>
      <c r="N5" s="909"/>
      <c r="O5" s="909"/>
      <c r="P5" s="909"/>
      <c r="Q5" s="909"/>
    </row>
    <row r="6" spans="1:23" ht="18" customHeight="1" x14ac:dyDescent="0.2">
      <c r="A6" s="910" t="s">
        <v>115</v>
      </c>
      <c r="B6" s="911" t="s">
        <v>116</v>
      </c>
      <c r="C6" s="912" t="s">
        <v>230</v>
      </c>
      <c r="D6" s="913"/>
      <c r="E6" s="910" t="s">
        <v>115</v>
      </c>
      <c r="F6" s="914" t="s">
        <v>116</v>
      </c>
      <c r="G6" s="915" t="s">
        <v>230</v>
      </c>
      <c r="H6" s="1549" t="str">
        <f>IF(AND(SUMIF($S:$S,"SQ9",$R:$R)=0,ISBLANK('SICI(2)'!F13),ISBLANK('SICI(2)'!F17)),"OK",IF(AND(ABS(SUMIF($S:$S,"SQ9",$R:$R))&gt;0,ISBLANK('SICI(2)'!F13),ISBLANK('SICI(2)'!F17)),"Attenzione: inserire le voci di costituzione del fondo unicamente in presenza di certificazione dello stesso (cfr. SICI GEN353 o GEN355) !",IF(AND(SUMIF($S:$S,"SQ9",$R:$R)=0,SUM('SICI(2)'!F13,'SICI(2)'!F17)&gt;0),"Attenzione: in presenza di date di certificazione del fondo (cfr. SICI GEN353 o GEN355) è necessario compilare il lato costituzione di T15 !","OK")))</f>
        <v>OK</v>
      </c>
      <c r="I6" s="908"/>
      <c r="J6" s="908"/>
      <c r="K6" s="908"/>
      <c r="L6" s="908"/>
      <c r="M6" s="909"/>
      <c r="N6" s="909"/>
      <c r="O6" s="909"/>
      <c r="P6" s="909"/>
      <c r="Q6" s="909"/>
    </row>
    <row r="7" spans="1:23" ht="17.100000000000001" customHeight="1" x14ac:dyDescent="0.25">
      <c r="A7" s="916" t="s">
        <v>632</v>
      </c>
      <c r="B7" s="917"/>
      <c r="C7" s="918"/>
      <c r="D7" s="919"/>
      <c r="E7" s="916" t="s">
        <v>632</v>
      </c>
      <c r="F7" s="917"/>
      <c r="G7" s="918"/>
      <c r="H7" s="1554"/>
      <c r="I7" s="908"/>
      <c r="J7" s="908"/>
      <c r="K7" s="908"/>
      <c r="L7" s="908"/>
      <c r="M7" s="909"/>
      <c r="N7" s="909"/>
      <c r="O7" s="763" t="s">
        <v>633</v>
      </c>
      <c r="P7" s="920"/>
      <c r="Q7" s="921"/>
      <c r="R7" s="921"/>
      <c r="S7" s="899"/>
      <c r="T7" s="763" t="s">
        <v>634</v>
      </c>
      <c r="U7" s="920"/>
      <c r="V7" s="921"/>
      <c r="W7" s="921"/>
    </row>
    <row r="8" spans="1:23" ht="17.100000000000001" customHeight="1" x14ac:dyDescent="0.2">
      <c r="A8" s="922" t="s">
        <v>635</v>
      </c>
      <c r="B8" s="923"/>
      <c r="C8" s="924"/>
      <c r="D8" s="925"/>
      <c r="E8" s="926" t="s">
        <v>842</v>
      </c>
      <c r="F8" s="927"/>
      <c r="G8" s="928"/>
      <c r="H8" s="1554"/>
      <c r="I8" s="908"/>
      <c r="J8" s="908"/>
      <c r="K8" s="908"/>
      <c r="L8" s="908"/>
      <c r="M8" s="909"/>
      <c r="N8" s="909"/>
      <c r="O8" s="764" t="s">
        <v>636</v>
      </c>
      <c r="P8" s="764" t="s">
        <v>637</v>
      </c>
      <c r="Q8" s="764" t="s">
        <v>638</v>
      </c>
      <c r="R8" s="764" t="s">
        <v>639</v>
      </c>
      <c r="S8" s="899"/>
      <c r="T8" s="764" t="s">
        <v>636</v>
      </c>
      <c r="U8" s="764" t="s">
        <v>637</v>
      </c>
      <c r="V8" s="764" t="s">
        <v>638</v>
      </c>
      <c r="W8" s="764" t="s">
        <v>639</v>
      </c>
    </row>
    <row r="9" spans="1:23" ht="17.100000000000001" customHeight="1" x14ac:dyDescent="0.2">
      <c r="A9" s="887" t="s">
        <v>765</v>
      </c>
      <c r="B9" s="912" t="s">
        <v>459</v>
      </c>
      <c r="C9" s="929"/>
      <c r="D9" s="906"/>
      <c r="E9" s="962" t="s">
        <v>893</v>
      </c>
      <c r="F9" s="912" t="s">
        <v>894</v>
      </c>
      <c r="G9" s="929"/>
      <c r="H9" s="1554"/>
      <c r="I9" s="908"/>
      <c r="J9" s="908"/>
      <c r="K9" s="908"/>
      <c r="L9" s="908"/>
      <c r="M9" s="909"/>
      <c r="N9" s="909"/>
      <c r="O9" s="898">
        <v>44</v>
      </c>
      <c r="P9" s="898">
        <v>7</v>
      </c>
      <c r="Q9" s="898" t="str">
        <f>B9</f>
        <v>F76G</v>
      </c>
      <c r="R9" s="930">
        <f>IF(ISNUMBER(C9),ROUND(C9,0),0)</f>
        <v>0</v>
      </c>
      <c r="S9" s="898" t="str">
        <f t="shared" ref="S9:S18" si="0">VLOOKUP(O9,$Q:$R,2,FALSE)</f>
        <v>SQ9</v>
      </c>
      <c r="T9" s="898">
        <v>44</v>
      </c>
      <c r="U9" s="898">
        <v>61</v>
      </c>
      <c r="V9" s="898" t="str">
        <f>F9</f>
        <v>U448</v>
      </c>
      <c r="W9" s="930">
        <f>IF(ISNUMBER(G9),ROUND(G9,0),0)</f>
        <v>0</v>
      </c>
    </row>
    <row r="10" spans="1:23" ht="17.100000000000001" customHeight="1" x14ac:dyDescent="0.2">
      <c r="A10" s="887" t="s">
        <v>785</v>
      </c>
      <c r="B10" s="912" t="s">
        <v>474</v>
      </c>
      <c r="C10" s="929"/>
      <c r="D10" s="906"/>
      <c r="E10" s="887" t="s">
        <v>576</v>
      </c>
      <c r="F10" s="912" t="s">
        <v>471</v>
      </c>
      <c r="G10" s="929"/>
      <c r="H10" s="1554"/>
      <c r="I10" s="908"/>
      <c r="J10" s="908"/>
      <c r="K10" s="908"/>
      <c r="L10" s="908"/>
      <c r="M10" s="909"/>
      <c r="N10" s="909"/>
      <c r="O10" s="898">
        <v>44</v>
      </c>
      <c r="P10" s="898">
        <v>7</v>
      </c>
      <c r="Q10" s="898" t="str">
        <f t="shared" ref="Q10:Q18" si="1">B10</f>
        <v>F11H</v>
      </c>
      <c r="R10" s="930">
        <f t="shared" ref="R10:R17" si="2">IF(ISNUMBER(C10),ROUND(C10,0),0)</f>
        <v>0</v>
      </c>
      <c r="S10" s="898" t="str">
        <f t="shared" si="0"/>
        <v>SQ9</v>
      </c>
      <c r="T10" s="898">
        <v>44</v>
      </c>
      <c r="U10" s="898">
        <v>61</v>
      </c>
      <c r="V10" s="898" t="str">
        <f>F10</f>
        <v>U449</v>
      </c>
      <c r="W10" s="930">
        <f>IF(ISNUMBER(G10),ROUND(G10,0),0)</f>
        <v>0</v>
      </c>
    </row>
    <row r="11" spans="1:23" ht="17.100000000000001" customHeight="1" thickBot="1" x14ac:dyDescent="0.25">
      <c r="A11" s="887" t="s">
        <v>786</v>
      </c>
      <c r="B11" s="912" t="s">
        <v>475</v>
      </c>
      <c r="C11" s="929"/>
      <c r="D11" s="906"/>
      <c r="E11" s="962" t="s">
        <v>943</v>
      </c>
      <c r="F11" s="912" t="s">
        <v>944</v>
      </c>
      <c r="G11" s="929"/>
      <c r="H11" s="1555"/>
      <c r="I11" s="908"/>
      <c r="J11" s="908"/>
      <c r="K11" s="908"/>
      <c r="L11" s="908"/>
      <c r="M11" s="909"/>
      <c r="N11" s="909"/>
      <c r="O11" s="898">
        <v>44</v>
      </c>
      <c r="P11" s="898">
        <v>7</v>
      </c>
      <c r="Q11" s="898" t="str">
        <f t="shared" si="1"/>
        <v>F12H</v>
      </c>
      <c r="R11" s="930">
        <f t="shared" si="2"/>
        <v>0</v>
      </c>
      <c r="S11" s="898" t="str">
        <f t="shared" si="0"/>
        <v>SQ9</v>
      </c>
      <c r="T11" s="898">
        <v>44</v>
      </c>
      <c r="U11" s="898">
        <v>61</v>
      </c>
      <c r="V11" s="898" t="str">
        <f>F11</f>
        <v>U02I</v>
      </c>
      <c r="W11" s="930">
        <f>IF(ISNUMBER(G11),ROUND(G11,0),0)</f>
        <v>0</v>
      </c>
    </row>
    <row r="12" spans="1:23" ht="17.100000000000001" customHeight="1" thickBot="1" x14ac:dyDescent="0.25">
      <c r="A12" s="887" t="s">
        <v>787</v>
      </c>
      <c r="B12" s="912" t="s">
        <v>476</v>
      </c>
      <c r="C12" s="929"/>
      <c r="D12" s="906"/>
      <c r="E12" s="962" t="s">
        <v>908</v>
      </c>
      <c r="F12" s="951" t="s">
        <v>750</v>
      </c>
      <c r="G12" s="929"/>
      <c r="H12" s="935" t="s">
        <v>718</v>
      </c>
      <c r="I12" s="908"/>
      <c r="J12" s="908"/>
      <c r="K12" s="908"/>
      <c r="L12" s="908"/>
      <c r="M12" s="909"/>
      <c r="N12" s="909"/>
      <c r="O12" s="898">
        <v>44</v>
      </c>
      <c r="P12" s="898">
        <v>7</v>
      </c>
      <c r="Q12" s="898" t="str">
        <f t="shared" si="1"/>
        <v>F86G</v>
      </c>
      <c r="R12" s="930">
        <f t="shared" si="2"/>
        <v>0</v>
      </c>
      <c r="S12" s="898" t="str">
        <f t="shared" si="0"/>
        <v>SQ9</v>
      </c>
      <c r="T12" s="898">
        <v>44</v>
      </c>
      <c r="U12" s="898">
        <v>61</v>
      </c>
      <c r="V12" s="898" t="str">
        <f>F12</f>
        <v>U02S</v>
      </c>
      <c r="W12" s="930">
        <f>IF(ISNUMBER(G12),ROUND(G12,0),0)</f>
        <v>0</v>
      </c>
    </row>
    <row r="13" spans="1:23" ht="17.100000000000001" customHeight="1" x14ac:dyDescent="0.2">
      <c r="A13" s="887" t="s">
        <v>832</v>
      </c>
      <c r="B13" s="912" t="s">
        <v>833</v>
      </c>
      <c r="C13" s="929"/>
      <c r="D13" s="906"/>
      <c r="E13" s="933" t="s">
        <v>568</v>
      </c>
      <c r="F13" s="934" t="s">
        <v>472</v>
      </c>
      <c r="G13" s="929"/>
      <c r="H13" s="1549" t="str">
        <f>IF(LEN(H17&amp;H18&amp;H19&amp;H20)&gt;0,"Attenzione, le seguenti voci creano incongruenza perché magg. del 10% del totale:","OK")</f>
        <v>OK</v>
      </c>
      <c r="I13" s="908"/>
      <c r="J13" s="908"/>
      <c r="K13" s="908"/>
      <c r="L13" s="908"/>
      <c r="M13" s="909"/>
      <c r="N13" s="909"/>
      <c r="O13" s="898">
        <v>44</v>
      </c>
      <c r="P13" s="898">
        <v>7</v>
      </c>
      <c r="Q13" s="898" t="str">
        <f t="shared" si="1"/>
        <v>F11X</v>
      </c>
      <c r="R13" s="930">
        <f t="shared" si="2"/>
        <v>0</v>
      </c>
      <c r="S13" s="898" t="str">
        <f t="shared" si="0"/>
        <v>SQ9</v>
      </c>
      <c r="T13" s="937">
        <v>44</v>
      </c>
      <c r="U13" s="937">
        <v>61</v>
      </c>
      <c r="V13" s="937" t="str">
        <f>F13</f>
        <v>U998</v>
      </c>
      <c r="W13" s="938">
        <f>IF(ISNUMBER(G13),ROUND(G13,0),0)</f>
        <v>0</v>
      </c>
    </row>
    <row r="14" spans="1:23" ht="17.100000000000001" customHeight="1" thickBot="1" x14ac:dyDescent="0.25">
      <c r="A14" s="931" t="s">
        <v>1152</v>
      </c>
      <c r="B14" s="932" t="s">
        <v>1102</v>
      </c>
      <c r="C14" s="929"/>
      <c r="D14" s="906"/>
      <c r="E14" s="939" t="s">
        <v>843</v>
      </c>
      <c r="F14" s="988"/>
      <c r="G14" s="989">
        <f>SUM(G9:G13)</f>
        <v>0</v>
      </c>
      <c r="H14" s="1552"/>
      <c r="I14" s="908"/>
      <c r="J14" s="908"/>
      <c r="K14" s="908"/>
      <c r="L14" s="908"/>
      <c r="M14" s="909"/>
      <c r="N14" s="909"/>
      <c r="O14" s="898">
        <v>44</v>
      </c>
      <c r="P14" s="898">
        <v>7</v>
      </c>
      <c r="Q14" s="898" t="str">
        <f t="shared" si="1"/>
        <v>F27L</v>
      </c>
      <c r="R14" s="930">
        <f t="shared" si="2"/>
        <v>0</v>
      </c>
      <c r="S14" s="898" t="str">
        <f t="shared" si="0"/>
        <v>SQ9</v>
      </c>
      <c r="T14" s="898" t="s">
        <v>531</v>
      </c>
      <c r="U14" s="898"/>
      <c r="V14" s="898"/>
      <c r="W14" s="898"/>
    </row>
    <row r="15" spans="1:23" ht="17.100000000000001" customHeight="1" thickBot="1" x14ac:dyDescent="0.25">
      <c r="A15" s="887" t="s">
        <v>788</v>
      </c>
      <c r="B15" s="912" t="s">
        <v>477</v>
      </c>
      <c r="C15" s="929"/>
      <c r="D15" s="993"/>
      <c r="E15" s="990" t="s">
        <v>566</v>
      </c>
      <c r="F15" s="991"/>
      <c r="G15" s="992">
        <f>G14</f>
        <v>0</v>
      </c>
      <c r="H15" s="946"/>
      <c r="I15" s="908"/>
      <c r="J15" s="908"/>
      <c r="K15" s="908"/>
      <c r="L15" s="908"/>
      <c r="M15" s="909"/>
      <c r="N15" s="909"/>
      <c r="O15" s="898">
        <v>44</v>
      </c>
      <c r="P15" s="898">
        <v>7</v>
      </c>
      <c r="Q15" s="898" t="str">
        <f>B15</f>
        <v>F13H</v>
      </c>
      <c r="R15" s="930">
        <f>IF(ISNUMBER(C15),ROUND(C15,0),0)</f>
        <v>0</v>
      </c>
      <c r="S15" s="898" t="str">
        <f t="shared" si="0"/>
        <v>SQ9</v>
      </c>
      <c r="T15" s="898"/>
      <c r="U15" s="898"/>
      <c r="V15" s="898"/>
      <c r="W15" s="898"/>
    </row>
    <row r="16" spans="1:23" ht="17.100000000000001" customHeight="1" x14ac:dyDescent="0.2">
      <c r="A16" s="887" t="s">
        <v>789</v>
      </c>
      <c r="B16" s="912" t="s">
        <v>478</v>
      </c>
      <c r="C16" s="929"/>
      <c r="D16" s="993"/>
      <c r="E16" s="994"/>
      <c r="F16" s="995"/>
      <c r="G16" s="996"/>
      <c r="H16" s="946"/>
      <c r="I16" s="908"/>
      <c r="J16" s="908"/>
      <c r="K16" s="908"/>
      <c r="L16" s="908"/>
      <c r="M16" s="909"/>
      <c r="N16" s="909"/>
      <c r="O16" s="898">
        <v>44</v>
      </c>
      <c r="P16" s="898">
        <v>7</v>
      </c>
      <c r="Q16" s="898" t="str">
        <f t="shared" si="1"/>
        <v>F62B</v>
      </c>
      <c r="R16" s="930">
        <f t="shared" si="2"/>
        <v>0</v>
      </c>
      <c r="S16" s="898" t="str">
        <f t="shared" si="0"/>
        <v>SQ9</v>
      </c>
      <c r="T16" s="898"/>
      <c r="U16" s="898"/>
      <c r="V16" s="898"/>
      <c r="W16" s="898"/>
    </row>
    <row r="17" spans="1:23" ht="17.100000000000001" customHeight="1" x14ac:dyDescent="0.2">
      <c r="A17" s="887" t="s">
        <v>977</v>
      </c>
      <c r="B17" s="951" t="s">
        <v>844</v>
      </c>
      <c r="C17" s="929"/>
      <c r="D17" s="993"/>
      <c r="E17" s="994"/>
      <c r="F17" s="995"/>
      <c r="G17" s="996"/>
      <c r="H17" s="953" t="str">
        <f>IF(C42&lt;&gt;0,IF(R18/ABS(C$42)&gt;0.1,"Fondo posizione e risultato - Altre risorse fisse - F00O",""),"")</f>
        <v/>
      </c>
      <c r="I17" s="908"/>
      <c r="J17" s="908"/>
      <c r="K17" s="908"/>
      <c r="L17" s="908"/>
      <c r="M17" s="909"/>
      <c r="N17" s="909"/>
      <c r="O17" s="898">
        <v>44</v>
      </c>
      <c r="P17" s="898">
        <v>7</v>
      </c>
      <c r="Q17" s="898" t="str">
        <f t="shared" si="1"/>
        <v>F16L</v>
      </c>
      <c r="R17" s="930">
        <f t="shared" si="2"/>
        <v>0</v>
      </c>
      <c r="S17" s="898" t="str">
        <f t="shared" si="0"/>
        <v>SQ9</v>
      </c>
      <c r="T17" s="950"/>
      <c r="U17" s="950"/>
      <c r="V17" s="898"/>
      <c r="W17" s="930"/>
    </row>
    <row r="18" spans="1:23" ht="17.100000000000001" customHeight="1" x14ac:dyDescent="0.2">
      <c r="A18" s="887" t="s">
        <v>895</v>
      </c>
      <c r="B18" s="951" t="s">
        <v>896</v>
      </c>
      <c r="C18" s="929"/>
      <c r="D18" s="906"/>
      <c r="E18" s="993"/>
      <c r="F18" s="997"/>
      <c r="G18" s="996"/>
      <c r="H18" s="953" t="str">
        <f>IF(C42&lt;&gt;0,IF(R33/ABS(C$42)&gt;0.1,"Fondo posizione e risultato - Altre risorse variabili - F00O",""),"")</f>
        <v/>
      </c>
      <c r="I18" s="908"/>
      <c r="J18" s="908"/>
      <c r="K18" s="908"/>
      <c r="L18" s="908"/>
      <c r="M18" s="909"/>
      <c r="N18" s="909"/>
      <c r="O18" s="937">
        <v>44</v>
      </c>
      <c r="P18" s="937">
        <v>7</v>
      </c>
      <c r="Q18" s="937" t="str">
        <f t="shared" si="1"/>
        <v>F00O</v>
      </c>
      <c r="R18" s="938">
        <f>IF(ISNUMBER(C18),ROUND(C18,0),0)</f>
        <v>0</v>
      </c>
      <c r="S18" s="898" t="str">
        <f t="shared" si="0"/>
        <v>SQ9</v>
      </c>
      <c r="T18" s="950"/>
      <c r="U18" s="950"/>
      <c r="V18" s="898"/>
      <c r="W18" s="930"/>
    </row>
    <row r="19" spans="1:23" ht="17.100000000000001" customHeight="1" thickBot="1" x14ac:dyDescent="0.25">
      <c r="A19" s="999" t="s">
        <v>345</v>
      </c>
      <c r="B19" s="988"/>
      <c r="C19" s="989">
        <f>SUM(C9:C18)</f>
        <v>0</v>
      </c>
      <c r="D19" s="906"/>
      <c r="E19" s="998"/>
      <c r="F19" s="997"/>
      <c r="G19" s="996"/>
      <c r="H19" s="953" t="str">
        <f>IF(C42&lt;&gt;0,IF(R40/ABS(C$42)&gt;0.1,"Fondo posizione e risultato - Altre decurtazioni - F01P",""),"")</f>
        <v/>
      </c>
      <c r="I19" s="908"/>
      <c r="J19" s="908"/>
      <c r="K19" s="908"/>
      <c r="L19" s="908"/>
      <c r="M19" s="909"/>
      <c r="N19" s="909"/>
      <c r="S19" s="898"/>
      <c r="U19" s="898"/>
      <c r="V19" s="898"/>
      <c r="W19" s="898"/>
    </row>
    <row r="20" spans="1:23" ht="17.100000000000001" customHeight="1" x14ac:dyDescent="0.2">
      <c r="A20" s="1000" t="s">
        <v>346</v>
      </c>
      <c r="B20" s="1001"/>
      <c r="C20" s="1002"/>
      <c r="D20" s="906"/>
      <c r="E20" s="993"/>
      <c r="F20" s="997"/>
      <c r="G20" s="996"/>
      <c r="H20" s="953" t="str">
        <f>IF(G15&lt;&gt;0,IF(W13/ABS(G43)&gt;0.1,"Fondo posizione e risultato - Altre destinazioni - U998",""),"")</f>
        <v/>
      </c>
      <c r="I20" s="909"/>
      <c r="J20" s="909"/>
      <c r="K20" s="909"/>
      <c r="T20" s="898"/>
      <c r="U20" s="898"/>
      <c r="V20" s="898"/>
      <c r="W20" s="898"/>
    </row>
    <row r="21" spans="1:23" ht="17.100000000000001" customHeight="1" thickBot="1" x14ac:dyDescent="0.25">
      <c r="A21" s="887" t="s">
        <v>732</v>
      </c>
      <c r="B21" s="912" t="s">
        <v>465</v>
      </c>
      <c r="C21" s="929"/>
      <c r="D21" s="906"/>
      <c r="E21" s="993"/>
      <c r="F21" s="997"/>
      <c r="G21" s="996"/>
      <c r="H21" s="1003"/>
      <c r="I21" s="909"/>
      <c r="J21" s="909"/>
      <c r="K21" s="909"/>
      <c r="O21" s="950">
        <v>44</v>
      </c>
      <c r="P21" s="950">
        <v>9</v>
      </c>
      <c r="Q21" s="898" t="str">
        <f>B21</f>
        <v>F50H</v>
      </c>
      <c r="R21" s="930">
        <f>IF(ISNUMBER(C21),ROUND(C21,0),0)</f>
        <v>0</v>
      </c>
      <c r="S21" s="898" t="str">
        <f t="shared" ref="S21:S33" si="3">VLOOKUP(O21,$Q:$R,2,FALSE)</f>
        <v>SQ9</v>
      </c>
      <c r="T21" s="898"/>
      <c r="U21" s="898"/>
      <c r="V21" s="898"/>
      <c r="W21" s="898"/>
    </row>
    <row r="22" spans="1:23" ht="17.100000000000001" customHeight="1" thickBot="1" x14ac:dyDescent="0.25">
      <c r="A22" s="962" t="s">
        <v>733</v>
      </c>
      <c r="B22" s="912" t="s">
        <v>466</v>
      </c>
      <c r="C22" s="929"/>
      <c r="D22" s="906"/>
      <c r="E22" s="993"/>
      <c r="F22" s="997"/>
      <c r="G22" s="996"/>
      <c r="H22" s="935" t="s">
        <v>992</v>
      </c>
      <c r="I22" s="909"/>
      <c r="J22" s="909"/>
      <c r="K22" s="909"/>
      <c r="O22" s="950">
        <v>44</v>
      </c>
      <c r="P22" s="950">
        <v>9</v>
      </c>
      <c r="Q22" s="898" t="str">
        <f t="shared" ref="Q22:Q32" si="4">B22</f>
        <v>F51H</v>
      </c>
      <c r="R22" s="930">
        <f t="shared" ref="R22:R32" si="5">IF(ISNUMBER(C22),ROUND(C22,0),0)</f>
        <v>0</v>
      </c>
      <c r="S22" s="898" t="str">
        <f t="shared" si="3"/>
        <v>SQ9</v>
      </c>
      <c r="T22" s="898"/>
      <c r="U22" s="898"/>
      <c r="V22" s="898"/>
      <c r="W22" s="898"/>
    </row>
    <row r="23" spans="1:23" ht="17.100000000000001" customHeight="1" x14ac:dyDescent="0.2">
      <c r="A23" s="962" t="s">
        <v>897</v>
      </c>
      <c r="B23" s="912" t="s">
        <v>898</v>
      </c>
      <c r="C23" s="929"/>
      <c r="D23" s="906"/>
      <c r="E23" s="993"/>
      <c r="F23" s="997"/>
      <c r="G23" s="996"/>
      <c r="H23" s="1552" t="str">
        <f>IF(AND(SUMIF($O:$O,$Q1,$R:$R)&lt;&gt;0,SUM('SICI(2)'!$F$13,'SICI(2)'!$F$17)&gt;0),IF(SUMIFS($R:$R,$P:$P,"&lt;&gt;81",$O:$O,$Q1)-SUMIFS($R:$R,$P:$P,"81",$O:$O,$Q1)-SUMIF($T:$T,$Q1,$W:$W)&lt;0,"Attenzione, nelle seguenti sezioni le destinazioni risultano superiori alle relative risorse e generano pertanto squadratura 8: "&amp;CHAR(10)&amp;A7,"OK"),"OK")</f>
        <v>OK</v>
      </c>
      <c r="O23" s="950">
        <v>44</v>
      </c>
      <c r="P23" s="950">
        <v>9</v>
      </c>
      <c r="Q23" s="898" t="str">
        <f t="shared" si="4"/>
        <v>F19S</v>
      </c>
      <c r="R23" s="930">
        <f t="shared" si="5"/>
        <v>0</v>
      </c>
      <c r="S23" s="898" t="str">
        <f t="shared" si="3"/>
        <v>SQ9</v>
      </c>
      <c r="T23" s="898"/>
      <c r="U23" s="898"/>
      <c r="V23" s="898"/>
      <c r="W23" s="898"/>
    </row>
    <row r="24" spans="1:23" ht="17.100000000000001" customHeight="1" x14ac:dyDescent="0.2">
      <c r="A24" s="887" t="s">
        <v>734</v>
      </c>
      <c r="B24" s="912" t="s">
        <v>567</v>
      </c>
      <c r="C24" s="929"/>
      <c r="D24" s="906"/>
      <c r="E24" s="993"/>
      <c r="F24" s="997"/>
      <c r="G24" s="996"/>
      <c r="H24" s="1552"/>
      <c r="O24" s="950">
        <v>44</v>
      </c>
      <c r="P24" s="950">
        <v>9</v>
      </c>
      <c r="Q24" s="898" t="str">
        <f t="shared" si="4"/>
        <v>F96H</v>
      </c>
      <c r="R24" s="930">
        <f t="shared" si="5"/>
        <v>0</v>
      </c>
      <c r="S24" s="898" t="str">
        <f t="shared" si="3"/>
        <v>SQ9</v>
      </c>
      <c r="T24" s="898"/>
      <c r="U24" s="898"/>
      <c r="V24" s="898"/>
      <c r="W24" s="898"/>
    </row>
    <row r="25" spans="1:23" ht="17.100000000000001" customHeight="1" x14ac:dyDescent="0.2">
      <c r="A25" s="887" t="s">
        <v>1103</v>
      </c>
      <c r="B25" s="912" t="s">
        <v>831</v>
      </c>
      <c r="C25" s="929"/>
      <c r="D25" s="906"/>
      <c r="E25" s="993"/>
      <c r="F25" s="997"/>
      <c r="G25" s="996"/>
      <c r="H25" s="1552"/>
      <c r="O25" s="950">
        <v>44</v>
      </c>
      <c r="P25" s="950">
        <v>9</v>
      </c>
      <c r="Q25" s="898" t="str">
        <f t="shared" si="4"/>
        <v>F11Y</v>
      </c>
      <c r="R25" s="930">
        <f t="shared" si="5"/>
        <v>0</v>
      </c>
      <c r="S25" s="898" t="str">
        <f t="shared" si="3"/>
        <v>SQ9</v>
      </c>
      <c r="T25" s="898"/>
      <c r="U25" s="898"/>
      <c r="V25" s="898"/>
      <c r="W25" s="898"/>
    </row>
    <row r="26" spans="1:23" ht="17.100000000000001" customHeight="1" thickBot="1" x14ac:dyDescent="0.25">
      <c r="A26" s="887" t="s">
        <v>792</v>
      </c>
      <c r="B26" s="912" t="s">
        <v>479</v>
      </c>
      <c r="C26" s="929"/>
      <c r="D26" s="906"/>
      <c r="E26" s="993"/>
      <c r="F26" s="997"/>
      <c r="G26" s="996"/>
      <c r="H26" s="1553"/>
      <c r="O26" s="950">
        <v>44</v>
      </c>
      <c r="P26" s="950">
        <v>9</v>
      </c>
      <c r="Q26" s="898" t="str">
        <f t="shared" si="4"/>
        <v>F63B</v>
      </c>
      <c r="R26" s="930">
        <f t="shared" si="5"/>
        <v>0</v>
      </c>
      <c r="S26" s="898" t="str">
        <f t="shared" si="3"/>
        <v>SQ9</v>
      </c>
      <c r="T26" s="898"/>
      <c r="U26" s="898"/>
      <c r="V26" s="898"/>
      <c r="W26" s="898"/>
    </row>
    <row r="27" spans="1:23" ht="17.100000000000001" customHeight="1" x14ac:dyDescent="0.2">
      <c r="A27" s="887" t="s">
        <v>793</v>
      </c>
      <c r="B27" s="912" t="s">
        <v>480</v>
      </c>
      <c r="C27" s="929"/>
      <c r="D27" s="906"/>
      <c r="E27" s="993"/>
      <c r="F27" s="997"/>
      <c r="G27" s="996"/>
      <c r="O27" s="950">
        <v>44</v>
      </c>
      <c r="P27" s="950">
        <v>9</v>
      </c>
      <c r="Q27" s="898" t="str">
        <f t="shared" si="4"/>
        <v>F64B</v>
      </c>
      <c r="R27" s="930">
        <f t="shared" si="5"/>
        <v>0</v>
      </c>
      <c r="S27" s="898" t="str">
        <f t="shared" si="3"/>
        <v>SQ9</v>
      </c>
      <c r="T27" s="898"/>
      <c r="U27" s="898"/>
      <c r="V27" s="898"/>
      <c r="W27" s="898"/>
    </row>
    <row r="28" spans="1:23" ht="17.100000000000001" customHeight="1" x14ac:dyDescent="0.2">
      <c r="A28" s="887" t="s">
        <v>794</v>
      </c>
      <c r="B28" s="912" t="s">
        <v>481</v>
      </c>
      <c r="C28" s="929"/>
      <c r="D28" s="906"/>
      <c r="E28" s="993"/>
      <c r="F28" s="997"/>
      <c r="G28" s="996"/>
      <c r="O28" s="950">
        <v>44</v>
      </c>
      <c r="P28" s="950">
        <v>9</v>
      </c>
      <c r="Q28" s="898" t="str">
        <f t="shared" si="4"/>
        <v>F65B</v>
      </c>
      <c r="R28" s="930">
        <f t="shared" si="5"/>
        <v>0</v>
      </c>
      <c r="S28" s="898" t="str">
        <f t="shared" si="3"/>
        <v>SQ9</v>
      </c>
      <c r="T28" s="898"/>
      <c r="U28" s="898"/>
      <c r="V28" s="898"/>
      <c r="W28" s="898"/>
    </row>
    <row r="29" spans="1:23" ht="17.100000000000001" customHeight="1" x14ac:dyDescent="0.2">
      <c r="A29" s="887" t="s">
        <v>790</v>
      </c>
      <c r="B29" s="912" t="s">
        <v>482</v>
      </c>
      <c r="C29" s="929"/>
      <c r="D29" s="906"/>
      <c r="E29" s="993"/>
      <c r="F29" s="997"/>
      <c r="G29" s="996"/>
      <c r="O29" s="950">
        <v>44</v>
      </c>
      <c r="P29" s="950">
        <v>9</v>
      </c>
      <c r="Q29" s="898" t="str">
        <f t="shared" si="4"/>
        <v>F14H</v>
      </c>
      <c r="R29" s="930">
        <f t="shared" si="5"/>
        <v>0</v>
      </c>
      <c r="S29" s="898" t="str">
        <f t="shared" si="3"/>
        <v>SQ9</v>
      </c>
      <c r="T29" s="898"/>
      <c r="U29" s="898"/>
      <c r="V29" s="898"/>
      <c r="W29" s="898"/>
    </row>
    <row r="30" spans="1:23" ht="17.100000000000001" customHeight="1" x14ac:dyDescent="0.2">
      <c r="A30" s="887" t="s">
        <v>791</v>
      </c>
      <c r="B30" s="912" t="s">
        <v>483</v>
      </c>
      <c r="C30" s="929"/>
      <c r="D30" s="906"/>
      <c r="E30" s="993"/>
      <c r="F30" s="997"/>
      <c r="G30" s="996"/>
      <c r="O30" s="950">
        <v>44</v>
      </c>
      <c r="P30" s="950">
        <v>9</v>
      </c>
      <c r="Q30" s="898" t="str">
        <f t="shared" si="4"/>
        <v>F57B</v>
      </c>
      <c r="R30" s="930">
        <f t="shared" si="5"/>
        <v>0</v>
      </c>
      <c r="S30" s="898" t="str">
        <f t="shared" si="3"/>
        <v>SQ9</v>
      </c>
      <c r="T30" s="898"/>
      <c r="U30" s="898"/>
      <c r="V30" s="898"/>
      <c r="W30" s="898"/>
    </row>
    <row r="31" spans="1:23" ht="17.100000000000001" customHeight="1" x14ac:dyDescent="0.2">
      <c r="A31" s="887" t="s">
        <v>1098</v>
      </c>
      <c r="B31" s="1356" t="s">
        <v>1099</v>
      </c>
      <c r="C31" s="929"/>
      <c r="D31" s="906"/>
      <c r="E31" s="993"/>
      <c r="F31" s="997"/>
      <c r="G31" s="996"/>
      <c r="O31" s="950">
        <v>44</v>
      </c>
      <c r="P31" s="950">
        <v>9</v>
      </c>
      <c r="Q31" s="898" t="str">
        <f>B31</f>
        <v>F24T</v>
      </c>
      <c r="R31" s="930">
        <f>IF(ISNUMBER(C31),ROUND(C31,0),0)</f>
        <v>0</v>
      </c>
      <c r="S31" s="898" t="str">
        <f t="shared" si="3"/>
        <v>SQ9</v>
      </c>
      <c r="T31" s="898"/>
      <c r="U31" s="898"/>
      <c r="V31" s="898"/>
      <c r="W31" s="898"/>
    </row>
    <row r="32" spans="1:23" ht="17.100000000000001" customHeight="1" x14ac:dyDescent="0.2">
      <c r="A32" s="931" t="s">
        <v>1100</v>
      </c>
      <c r="B32" s="932" t="s">
        <v>470</v>
      </c>
      <c r="C32" s="929"/>
      <c r="D32" s="906"/>
      <c r="E32" s="993"/>
      <c r="F32" s="997"/>
      <c r="G32" s="996"/>
      <c r="O32" s="950">
        <v>44</v>
      </c>
      <c r="P32" s="950">
        <v>9</v>
      </c>
      <c r="Q32" s="898" t="str">
        <f t="shared" si="4"/>
        <v>F999</v>
      </c>
      <c r="R32" s="930">
        <f t="shared" si="5"/>
        <v>0</v>
      </c>
      <c r="S32" s="898" t="str">
        <f t="shared" si="3"/>
        <v>SQ9</v>
      </c>
      <c r="T32" s="898"/>
      <c r="U32" s="898"/>
      <c r="V32" s="898"/>
      <c r="W32" s="898"/>
    </row>
    <row r="33" spans="1:23" ht="17.100000000000001" customHeight="1" x14ac:dyDescent="0.2">
      <c r="A33" s="887" t="s">
        <v>895</v>
      </c>
      <c r="B33" s="951" t="s">
        <v>896</v>
      </c>
      <c r="C33" s="929"/>
      <c r="D33" s="906"/>
      <c r="E33" s="993"/>
      <c r="F33" s="997"/>
      <c r="G33" s="996"/>
      <c r="O33" s="964">
        <v>44</v>
      </c>
      <c r="P33" s="964">
        <v>9</v>
      </c>
      <c r="Q33" s="937" t="str">
        <f>B33</f>
        <v>F00O</v>
      </c>
      <c r="R33" s="938">
        <f>IF(ISNUMBER(C33),ROUND(C33,0),0)</f>
        <v>0</v>
      </c>
      <c r="S33" s="898" t="str">
        <f t="shared" si="3"/>
        <v>SQ9</v>
      </c>
      <c r="T33" s="898"/>
      <c r="U33" s="898"/>
      <c r="V33" s="898"/>
      <c r="W33" s="898"/>
    </row>
    <row r="34" spans="1:23" ht="17.100000000000001" customHeight="1" thickBot="1" x14ac:dyDescent="0.25">
      <c r="A34" s="999" t="s">
        <v>347</v>
      </c>
      <c r="B34" s="988"/>
      <c r="C34" s="989">
        <f>SUM(C21:C33)</f>
        <v>0</v>
      </c>
      <c r="D34" s="906"/>
      <c r="E34" s="993"/>
      <c r="F34" s="997"/>
      <c r="G34" s="996"/>
      <c r="S34" s="898"/>
      <c r="T34" s="898"/>
      <c r="U34" s="898"/>
      <c r="V34" s="898"/>
      <c r="W34" s="898"/>
    </row>
    <row r="35" spans="1:23" ht="17.100000000000001" customHeight="1" x14ac:dyDescent="0.2">
      <c r="A35" s="1004" t="s">
        <v>713</v>
      </c>
      <c r="B35" s="1001"/>
      <c r="C35" s="1005"/>
      <c r="D35" s="906"/>
      <c r="E35" s="993"/>
      <c r="F35" s="997"/>
      <c r="G35" s="996"/>
      <c r="T35" s="898"/>
      <c r="U35" s="898"/>
      <c r="V35" s="898"/>
      <c r="W35" s="898"/>
    </row>
    <row r="36" spans="1:23" ht="17.100000000000001" customHeight="1" x14ac:dyDescent="0.2">
      <c r="A36" s="887" t="s">
        <v>738</v>
      </c>
      <c r="B36" s="912" t="s">
        <v>714</v>
      </c>
      <c r="C36" s="929"/>
      <c r="D36" s="906"/>
      <c r="E36" s="993"/>
      <c r="F36" s="997"/>
      <c r="G36" s="996"/>
      <c r="O36" s="898">
        <v>44</v>
      </c>
      <c r="P36" s="898">
        <v>81</v>
      </c>
      <c r="Q36" s="898" t="str">
        <f>B36</f>
        <v>F02P</v>
      </c>
      <c r="R36" s="930">
        <f>IF(ISNUMBER(C36),ROUND(C36,0),0)</f>
        <v>0</v>
      </c>
      <c r="S36" s="898" t="str">
        <f>VLOOKUP(O36,$Q:$R,2,FALSE)</f>
        <v>SQ9</v>
      </c>
      <c r="T36" s="898"/>
      <c r="U36" s="898"/>
      <c r="V36" s="898"/>
      <c r="W36" s="898"/>
    </row>
    <row r="37" spans="1:23" ht="17.100000000000001" customHeight="1" x14ac:dyDescent="0.2">
      <c r="A37" s="887" t="s">
        <v>739</v>
      </c>
      <c r="B37" s="912" t="s">
        <v>599</v>
      </c>
      <c r="C37" s="929"/>
      <c r="D37" s="906"/>
      <c r="E37" s="993"/>
      <c r="F37" s="997"/>
      <c r="G37" s="996"/>
      <c r="O37" s="898">
        <v>44</v>
      </c>
      <c r="P37" s="898">
        <v>81</v>
      </c>
      <c r="Q37" s="898" t="str">
        <f>B37</f>
        <v>F27I</v>
      </c>
      <c r="R37" s="930">
        <f>IF(ISNUMBER(C37),ROUND(C37,0),0)</f>
        <v>0</v>
      </c>
      <c r="S37" s="898" t="str">
        <f>VLOOKUP(O37,$Q:$R,2,FALSE)</f>
        <v>SQ9</v>
      </c>
      <c r="T37" s="898"/>
      <c r="U37" s="898"/>
      <c r="V37" s="898"/>
      <c r="W37" s="898"/>
    </row>
    <row r="38" spans="1:23" ht="17.100000000000001" customHeight="1" x14ac:dyDescent="0.2">
      <c r="A38" s="887" t="s">
        <v>784</v>
      </c>
      <c r="B38" s="912" t="s">
        <v>715</v>
      </c>
      <c r="C38" s="929"/>
      <c r="D38" s="906"/>
      <c r="E38" s="993"/>
      <c r="F38" s="997"/>
      <c r="G38" s="996"/>
      <c r="O38" s="898">
        <v>44</v>
      </c>
      <c r="P38" s="898">
        <v>81</v>
      </c>
      <c r="Q38" s="898" t="str">
        <f>B38</f>
        <v>F00P</v>
      </c>
      <c r="R38" s="930">
        <f>IF(ISNUMBER(C38),ROUND(C38,0),0)</f>
        <v>0</v>
      </c>
      <c r="S38" s="898" t="str">
        <f>VLOOKUP(O38,$Q:$R,2,FALSE)</f>
        <v>SQ9</v>
      </c>
      <c r="T38" s="898"/>
      <c r="U38" s="898"/>
      <c r="V38" s="898"/>
      <c r="W38" s="898"/>
    </row>
    <row r="39" spans="1:23" ht="17.100000000000001" customHeight="1" x14ac:dyDescent="0.2">
      <c r="A39" s="887" t="s">
        <v>740</v>
      </c>
      <c r="B39" s="974" t="s">
        <v>741</v>
      </c>
      <c r="C39" s="929"/>
      <c r="D39" s="906"/>
      <c r="E39" s="993"/>
      <c r="F39" s="997"/>
      <c r="G39" s="996"/>
      <c r="O39" s="898">
        <v>44</v>
      </c>
      <c r="P39" s="898">
        <v>81</v>
      </c>
      <c r="Q39" s="898" t="str">
        <f>B39</f>
        <v>F01S</v>
      </c>
      <c r="R39" s="930">
        <f>IF(ISNUMBER(C39),ROUND(C39,0),0)</f>
        <v>0</v>
      </c>
      <c r="S39" s="898" t="str">
        <f>VLOOKUP(O39,$Q:$R,2,FALSE)</f>
        <v>SQ9</v>
      </c>
      <c r="T39" s="898"/>
      <c r="U39" s="898"/>
      <c r="V39" s="898"/>
      <c r="W39" s="898"/>
    </row>
    <row r="40" spans="1:23" ht="17.100000000000001" customHeight="1" x14ac:dyDescent="0.2">
      <c r="A40" s="887" t="s">
        <v>899</v>
      </c>
      <c r="B40" s="951" t="s">
        <v>716</v>
      </c>
      <c r="C40" s="929"/>
      <c r="D40" s="906"/>
      <c r="E40" s="993"/>
      <c r="F40" s="997"/>
      <c r="G40" s="996"/>
      <c r="O40" s="937">
        <v>44</v>
      </c>
      <c r="P40" s="937">
        <v>81</v>
      </c>
      <c r="Q40" s="937" t="str">
        <f>B40</f>
        <v>F01P</v>
      </c>
      <c r="R40" s="938">
        <f>IF(ISNUMBER(C40),ROUND(C40,0),0)</f>
        <v>0</v>
      </c>
      <c r="S40" s="898" t="str">
        <f>VLOOKUP(O40,$Q:$R,2,FALSE)</f>
        <v>SQ9</v>
      </c>
      <c r="T40" s="898"/>
      <c r="U40" s="898"/>
      <c r="V40" s="898"/>
      <c r="W40" s="898"/>
    </row>
    <row r="41" spans="1:23" ht="17.25" customHeight="1" thickBot="1" x14ac:dyDescent="0.25">
      <c r="A41" s="1006" t="s">
        <v>717</v>
      </c>
      <c r="B41" s="1007"/>
      <c r="C41" s="1008">
        <f>SUM(C36:C40)</f>
        <v>0</v>
      </c>
      <c r="D41" s="906"/>
      <c r="E41" s="993"/>
      <c r="F41" s="997"/>
      <c r="G41" s="996"/>
      <c r="O41" s="898" t="s">
        <v>531</v>
      </c>
      <c r="P41" s="898"/>
      <c r="Q41" s="898"/>
      <c r="R41" s="930"/>
      <c r="S41" s="898"/>
      <c r="T41" s="898"/>
      <c r="U41" s="898"/>
      <c r="V41" s="898"/>
      <c r="W41" s="898"/>
    </row>
    <row r="42" spans="1:23" ht="17.25" customHeight="1" thickBot="1" x14ac:dyDescent="0.25">
      <c r="A42" s="1009" t="s">
        <v>566</v>
      </c>
      <c r="B42" s="1010"/>
      <c r="C42" s="992">
        <f>C19+C34-C41</f>
        <v>0</v>
      </c>
      <c r="D42" s="906"/>
      <c r="E42" s="1011"/>
      <c r="F42" s="1012"/>
      <c r="G42" s="1013"/>
      <c r="P42" s="898"/>
      <c r="Q42" s="898"/>
      <c r="R42" s="898"/>
      <c r="S42" s="898"/>
      <c r="T42" s="898"/>
      <c r="U42" s="898"/>
      <c r="V42" s="898"/>
      <c r="W42" s="898"/>
    </row>
    <row r="43" spans="1:23" ht="17.100000000000001" customHeight="1" thickBot="1" x14ac:dyDescent="0.25">
      <c r="A43" s="983" t="s">
        <v>900</v>
      </c>
      <c r="B43" s="1010"/>
      <c r="C43" s="992">
        <f>C42</f>
        <v>0</v>
      </c>
      <c r="E43" s="985" t="s">
        <v>901</v>
      </c>
      <c r="F43" s="1010"/>
      <c r="G43" s="992">
        <f>G15</f>
        <v>0</v>
      </c>
      <c r="O43" s="898"/>
      <c r="P43" s="898"/>
      <c r="Q43" s="898"/>
      <c r="R43" s="930"/>
      <c r="T43" s="898"/>
      <c r="U43" s="898"/>
      <c r="V43" s="898"/>
      <c r="W43" s="898"/>
    </row>
    <row r="44" spans="1:23" ht="4.9000000000000004" customHeight="1" x14ac:dyDescent="0.2"/>
    <row r="45" spans="1:23" x14ac:dyDescent="0.2">
      <c r="A45" s="821" t="s">
        <v>993</v>
      </c>
    </row>
    <row r="46" spans="1:23" s="767" customFormat="1" ht="15" x14ac:dyDescent="0.2">
      <c r="A46" s="821" t="s">
        <v>1101</v>
      </c>
      <c r="B46" s="942"/>
      <c r="C46" s="987"/>
      <c r="T46" s="821"/>
      <c r="U46" s="821"/>
      <c r="V46" s="821"/>
      <c r="W46" s="821"/>
    </row>
    <row r="47" spans="1:23" ht="15" x14ac:dyDescent="0.2">
      <c r="A47" s="821" t="s">
        <v>994</v>
      </c>
      <c r="T47" s="767"/>
      <c r="U47" s="767"/>
      <c r="V47" s="767"/>
      <c r="W47" s="767"/>
    </row>
  </sheetData>
  <sheetProtection algorithmName="SHA-512" hashValue="jeeRWoI05LtTXnO/Eplqk5CGVEDlA/dR5oWfHIJVTlcVD6fEJEbOE/K1tIO8RKYE3F8vvYfs9Pqm6lY7xx7LqA==" saltValue="5dyAjzECQZk4+7YnY2oV3A==" spinCount="100000" sheet="1" formatColumns="0" selectLockedCells="1"/>
  <mergeCells count="3">
    <mergeCell ref="H6:H11"/>
    <mergeCell ref="H13:H14"/>
    <mergeCell ref="H23:H26"/>
  </mergeCells>
  <dataValidations count="2">
    <dataValidation type="whole" allowBlank="1" showInputMessage="1" showErrorMessage="1" errorTitle="ERRORE NEL DATO IMMESSO" error="INSERIRE SOLO NUMERI INTERI" sqref="C21:C33 C9:C18 C36:C40 G9:G13" xr:uid="{BA2B097F-2FDC-497A-B5BE-959068CD0440}">
      <formula1>0</formula1>
      <formula2>999999999999</formula2>
    </dataValidation>
    <dataValidation type="whole" allowBlank="1" showInputMessage="1" showErrorMessage="1" errorTitle="ERRORE NEL DATO IMMESSO" error="INSERIRE SOLO NUMERI INTERI" sqref="C19 C34:C35 G42 G14:G17 C41:C42" xr:uid="{19467D72-4C43-4326-9785-EAF8EB334666}">
      <formula1>-999999999999</formula1>
      <formula2>999999999999</formula2>
    </dataValidation>
  </dataValidations>
  <printOptions horizontalCentered="1"/>
  <pageMargins left="0.39370078740157483" right="0.39370078740157483" top="0.78740157480314965" bottom="0.39370078740157483" header="0.51181102362204722" footer="0.15748031496062992"/>
  <pageSetup paperSize="9" scale="61" orientation="portrait" horizontalDpi="300" verticalDpi="4294967292"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W46"/>
  <sheetViews>
    <sheetView showGridLines="0" zoomScale="80" zoomScaleNormal="80" workbookViewId="0">
      <selection activeCell="C9" sqref="C9"/>
    </sheetView>
  </sheetViews>
  <sheetFormatPr defaultColWidth="12.6640625" defaultRowHeight="11.25" x14ac:dyDescent="0.2"/>
  <cols>
    <col min="1" max="1" width="65.6640625" style="821" customWidth="1"/>
    <col min="2" max="2" width="10.6640625" style="898" customWidth="1"/>
    <col min="3" max="3" width="20.6640625" style="821" customWidth="1"/>
    <col min="4" max="4" width="3.33203125" style="821" customWidth="1"/>
    <col min="5" max="5" width="65.6640625" style="821" customWidth="1"/>
    <col min="6" max="6" width="10.6640625" style="821" customWidth="1"/>
    <col min="7" max="7" width="20.6640625" style="821" customWidth="1"/>
    <col min="8" max="8" width="73.33203125" style="821" customWidth="1"/>
    <col min="9" max="14" width="12.6640625" style="821" customWidth="1"/>
    <col min="15" max="18" width="12.6640625" style="821" hidden="1" customWidth="1"/>
    <col min="19" max="19" width="7.33203125" style="821" hidden="1" customWidth="1"/>
    <col min="20" max="23" width="12.6640625" style="821" hidden="1" customWidth="1"/>
    <col min="24" max="27" width="12.6640625" style="821" customWidth="1"/>
    <col min="28" max="16384" width="12.6640625" style="821"/>
  </cols>
  <sheetData>
    <row r="1" spans="1:23" ht="43.5" customHeight="1" x14ac:dyDescent="0.2">
      <c r="A1" s="894" t="str">
        <f>'t1'!$A$1</f>
        <v>ENTI PUBBLICI NON ECONOMICI - anno 2024</v>
      </c>
      <c r="B1" s="895"/>
      <c r="C1" s="895"/>
      <c r="D1" s="895"/>
      <c r="E1" s="895"/>
      <c r="F1" s="895"/>
      <c r="H1" s="896" t="s">
        <v>457</v>
      </c>
      <c r="Q1" s="897">
        <v>45</v>
      </c>
      <c r="R1" s="897" t="s">
        <v>630</v>
      </c>
    </row>
    <row r="2" spans="1:23" ht="15.4" customHeight="1" x14ac:dyDescent="0.2">
      <c r="N2"/>
      <c r="O2" s="822"/>
      <c r="P2" s="822"/>
      <c r="Q2" s="822"/>
      <c r="R2" s="899"/>
      <c r="S2" s="899"/>
      <c r="T2" s="822"/>
      <c r="U2" s="822"/>
      <c r="V2" s="822"/>
      <c r="W2" s="899"/>
    </row>
    <row r="3" spans="1:23" ht="44.65" customHeight="1" x14ac:dyDescent="0.2">
      <c r="A3" s="900"/>
      <c r="B3" s="901"/>
      <c r="C3" s="901"/>
      <c r="D3" s="901"/>
      <c r="E3" s="901"/>
      <c r="F3" s="901"/>
      <c r="G3" s="901"/>
      <c r="N3"/>
      <c r="O3" s="902"/>
      <c r="P3" s="902"/>
      <c r="Q3" s="822"/>
      <c r="R3" s="899"/>
      <c r="S3" s="899"/>
      <c r="T3" s="902"/>
      <c r="U3" s="902"/>
      <c r="V3" s="822"/>
      <c r="W3" s="899"/>
    </row>
    <row r="4" spans="1:23" ht="15.4" customHeight="1" thickBot="1" x14ac:dyDescent="0.25">
      <c r="N4"/>
      <c r="O4" s="822"/>
      <c r="P4" s="822"/>
      <c r="Q4" s="822"/>
      <c r="R4" s="899"/>
      <c r="S4" s="899"/>
      <c r="T4" s="822"/>
      <c r="U4" s="822"/>
      <c r="V4" s="822"/>
      <c r="W4" s="899"/>
    </row>
    <row r="5" spans="1:23" ht="25.5" customHeight="1" thickBot="1" x14ac:dyDescent="0.25">
      <c r="A5" s="903" t="s">
        <v>990</v>
      </c>
      <c r="B5" s="904"/>
      <c r="C5" s="905"/>
      <c r="D5" s="906"/>
      <c r="E5" s="903" t="s">
        <v>991</v>
      </c>
      <c r="F5" s="904"/>
      <c r="G5" s="905"/>
      <c r="H5" s="907" t="s">
        <v>631</v>
      </c>
      <c r="I5" s="908"/>
      <c r="J5" s="908"/>
      <c r="K5" s="908"/>
      <c r="L5" s="908"/>
      <c r="N5" s="909"/>
      <c r="O5" s="909"/>
      <c r="P5" s="909"/>
      <c r="Q5" s="909"/>
    </row>
    <row r="6" spans="1:23" ht="18" customHeight="1" x14ac:dyDescent="0.2">
      <c r="A6" s="910" t="s">
        <v>115</v>
      </c>
      <c r="B6" s="912" t="s">
        <v>116</v>
      </c>
      <c r="C6" s="912" t="s">
        <v>230</v>
      </c>
      <c r="D6" s="913"/>
      <c r="E6" s="910" t="s">
        <v>115</v>
      </c>
      <c r="F6" s="951" t="s">
        <v>116</v>
      </c>
      <c r="G6" s="915" t="s">
        <v>230</v>
      </c>
      <c r="H6" s="1549" t="str">
        <f>IF(AND(SUMIF($S:$S,"SQ9",$R:$R)=0,ISBLANK('SICI(3)'!F13),ISBLANK('SICI(3)'!F17)),"OK",IF(AND(ABS(SUMIF($S:$S,"SQ9",$R:$R))&gt;0,ISBLANK('SICI(3)'!F13),ISBLANK('SICI(3)'!F17)),"Attenzione: inserire le voci di costituzione del fondo unicamente in presenza di certificazione dello stesso (cfr. SICI GEN353 o GEN355) !",IF(AND(SUMIF($S:$S,"SQ9",$R:$R)=0,SUM('SICI(3)'!F13,'SICI(3)'!F17)&gt;0),"Attenzione: in presenza di date di certificazione del fondo (cfr. SICI GEN353 o GEN355) è necessario compilare il lato costituzione di T15 !","OK")))</f>
        <v>OK</v>
      </c>
      <c r="I6" s="908"/>
      <c r="J6" s="908"/>
      <c r="K6" s="908"/>
      <c r="L6" s="908"/>
      <c r="M6" s="909"/>
      <c r="N6" s="909"/>
      <c r="O6" s="909"/>
      <c r="P6" s="909"/>
      <c r="Q6" s="909"/>
    </row>
    <row r="7" spans="1:23" ht="17.100000000000001" customHeight="1" x14ac:dyDescent="0.25">
      <c r="A7" s="916" t="s">
        <v>641</v>
      </c>
      <c r="B7" s="917"/>
      <c r="C7" s="918"/>
      <c r="D7" s="919"/>
      <c r="E7" s="916" t="str">
        <f>A7</f>
        <v>Fondo Area Medica</v>
      </c>
      <c r="F7" s="917"/>
      <c r="G7" s="918"/>
      <c r="H7" s="1554"/>
      <c r="I7" s="908"/>
      <c r="J7" s="908"/>
      <c r="K7" s="908"/>
      <c r="L7" s="908"/>
      <c r="O7" s="763" t="s">
        <v>633</v>
      </c>
      <c r="P7" s="920"/>
      <c r="Q7" s="921"/>
      <c r="R7" s="921"/>
      <c r="S7" s="899"/>
      <c r="T7" s="763" t="s">
        <v>634</v>
      </c>
      <c r="U7" s="920"/>
      <c r="V7" s="921"/>
      <c r="W7" s="921"/>
    </row>
    <row r="8" spans="1:23" ht="17.100000000000001" customHeight="1" x14ac:dyDescent="0.2">
      <c r="A8" s="922" t="s">
        <v>635</v>
      </c>
      <c r="B8" s="923"/>
      <c r="C8" s="924"/>
      <c r="D8" s="925"/>
      <c r="E8" s="926" t="s">
        <v>842</v>
      </c>
      <c r="F8" s="927"/>
      <c r="G8" s="928"/>
      <c r="H8" s="1554"/>
      <c r="I8" s="908"/>
      <c r="J8" s="908"/>
      <c r="K8" s="908"/>
      <c r="L8" s="908"/>
      <c r="O8" s="764" t="s">
        <v>636</v>
      </c>
      <c r="P8" s="764" t="s">
        <v>637</v>
      </c>
      <c r="Q8" s="764" t="s">
        <v>638</v>
      </c>
      <c r="R8" s="764" t="s">
        <v>639</v>
      </c>
      <c r="S8" s="899"/>
      <c r="T8" s="764" t="s">
        <v>636</v>
      </c>
      <c r="U8" s="764" t="s">
        <v>637</v>
      </c>
      <c r="V8" s="764" t="s">
        <v>638</v>
      </c>
      <c r="W8" s="764" t="s">
        <v>639</v>
      </c>
    </row>
    <row r="9" spans="1:23" ht="17.100000000000001" customHeight="1" x14ac:dyDescent="0.2">
      <c r="A9" s="887" t="s">
        <v>765</v>
      </c>
      <c r="B9" s="951" t="s">
        <v>459</v>
      </c>
      <c r="C9" s="929"/>
      <c r="D9" s="906"/>
      <c r="E9" s="887" t="s">
        <v>569</v>
      </c>
      <c r="F9" s="951" t="s">
        <v>494</v>
      </c>
      <c r="G9" s="929"/>
      <c r="H9" s="1554"/>
      <c r="I9" s="908"/>
      <c r="J9" s="908"/>
      <c r="K9" s="908"/>
      <c r="L9" s="908"/>
      <c r="O9" s="898">
        <v>45</v>
      </c>
      <c r="P9" s="898">
        <v>7</v>
      </c>
      <c r="Q9" s="898" t="str">
        <f>B9</f>
        <v>F76G</v>
      </c>
      <c r="R9" s="930">
        <f>IF(ISNUMBER(C9),ROUND(C9,0),0)</f>
        <v>0</v>
      </c>
      <c r="S9" s="898" t="str">
        <f t="shared" ref="S9:S18" si="0">VLOOKUP(O9,$Q:$R,2,FALSE)</f>
        <v>SQ9</v>
      </c>
      <c r="T9" s="898">
        <v>45</v>
      </c>
      <c r="U9" s="898">
        <v>61</v>
      </c>
      <c r="V9" s="898" t="str">
        <f t="shared" ref="V9:V14" si="1">F9</f>
        <v>U264</v>
      </c>
      <c r="W9" s="930">
        <f t="shared" ref="W9:W14" si="2">IF(ISNUMBER(G9),ROUND(G9,0),0)</f>
        <v>0</v>
      </c>
    </row>
    <row r="10" spans="1:23" ht="17.100000000000001" customHeight="1" x14ac:dyDescent="0.2">
      <c r="A10" s="887" t="s">
        <v>774</v>
      </c>
      <c r="B10" s="951" t="s">
        <v>489</v>
      </c>
      <c r="C10" s="929"/>
      <c r="D10" s="906"/>
      <c r="E10" s="887" t="s">
        <v>893</v>
      </c>
      <c r="F10" s="912" t="s">
        <v>894</v>
      </c>
      <c r="G10" s="929"/>
      <c r="H10" s="1554"/>
      <c r="I10" s="908"/>
      <c r="J10" s="908"/>
      <c r="K10" s="908"/>
      <c r="L10" s="908"/>
      <c r="O10" s="898">
        <v>45</v>
      </c>
      <c r="P10" s="898">
        <v>7</v>
      </c>
      <c r="Q10" s="898" t="str">
        <f t="shared" ref="Q10:Q15" si="3">B10</f>
        <v>F90G</v>
      </c>
      <c r="R10" s="930">
        <f t="shared" ref="R10:R16" si="4">IF(ISNUMBER(C10),ROUND(C10,0),0)</f>
        <v>0</v>
      </c>
      <c r="S10" s="898" t="str">
        <f t="shared" si="0"/>
        <v>SQ9</v>
      </c>
      <c r="T10" s="898">
        <v>45</v>
      </c>
      <c r="U10" s="898">
        <v>61</v>
      </c>
      <c r="V10" s="898" t="str">
        <f t="shared" si="1"/>
        <v>U448</v>
      </c>
      <c r="W10" s="930">
        <f t="shared" si="2"/>
        <v>0</v>
      </c>
    </row>
    <row r="11" spans="1:23" ht="17.100000000000001" customHeight="1" thickBot="1" x14ac:dyDescent="0.25">
      <c r="A11" s="887" t="s">
        <v>775</v>
      </c>
      <c r="B11" s="951" t="s">
        <v>490</v>
      </c>
      <c r="C11" s="929"/>
      <c r="D11" s="906"/>
      <c r="E11" s="887" t="s">
        <v>576</v>
      </c>
      <c r="F11" s="951" t="s">
        <v>471</v>
      </c>
      <c r="G11" s="929"/>
      <c r="H11" s="1555"/>
      <c r="I11" s="908"/>
      <c r="J11" s="908"/>
      <c r="K11" s="908"/>
      <c r="L11" s="908"/>
      <c r="O11" s="898">
        <v>45</v>
      </c>
      <c r="P11" s="898">
        <v>7</v>
      </c>
      <c r="Q11" s="898" t="str">
        <f t="shared" si="3"/>
        <v>F91G</v>
      </c>
      <c r="R11" s="930">
        <f t="shared" si="4"/>
        <v>0</v>
      </c>
      <c r="S11" s="898" t="str">
        <f t="shared" si="0"/>
        <v>SQ9</v>
      </c>
      <c r="T11" s="898">
        <v>45</v>
      </c>
      <c r="U11" s="898">
        <v>61</v>
      </c>
      <c r="V11" s="898" t="str">
        <f t="shared" si="1"/>
        <v>U449</v>
      </c>
      <c r="W11" s="930">
        <f t="shared" si="2"/>
        <v>0</v>
      </c>
    </row>
    <row r="12" spans="1:23" ht="17.100000000000001" customHeight="1" thickBot="1" x14ac:dyDescent="0.25">
      <c r="A12" s="887" t="s">
        <v>776</v>
      </c>
      <c r="B12" s="951" t="s">
        <v>491</v>
      </c>
      <c r="C12" s="929"/>
      <c r="D12" s="906"/>
      <c r="E12" s="887" t="s">
        <v>570</v>
      </c>
      <c r="F12" s="951" t="s">
        <v>495</v>
      </c>
      <c r="G12" s="929"/>
      <c r="H12" s="935" t="s">
        <v>718</v>
      </c>
      <c r="I12" s="908"/>
      <c r="J12" s="908"/>
      <c r="K12" s="908"/>
      <c r="L12" s="908"/>
      <c r="O12" s="898">
        <v>45</v>
      </c>
      <c r="P12" s="898">
        <v>7</v>
      </c>
      <c r="Q12" s="898" t="str">
        <f t="shared" si="3"/>
        <v>F92G</v>
      </c>
      <c r="R12" s="930">
        <f t="shared" si="4"/>
        <v>0</v>
      </c>
      <c r="S12" s="898" t="str">
        <f t="shared" si="0"/>
        <v>SQ9</v>
      </c>
      <c r="T12" s="898">
        <v>45</v>
      </c>
      <c r="U12" s="898">
        <v>61</v>
      </c>
      <c r="V12" s="898" t="str">
        <f t="shared" si="1"/>
        <v>U267</v>
      </c>
      <c r="W12" s="930">
        <f t="shared" si="2"/>
        <v>0</v>
      </c>
    </row>
    <row r="13" spans="1:23" ht="17.100000000000001" customHeight="1" x14ac:dyDescent="0.2">
      <c r="A13" s="887" t="s">
        <v>834</v>
      </c>
      <c r="B13" s="951" t="s">
        <v>835</v>
      </c>
      <c r="C13" s="929"/>
      <c r="D13" s="906"/>
      <c r="E13" s="933" t="s">
        <v>902</v>
      </c>
      <c r="F13" s="951" t="s">
        <v>889</v>
      </c>
      <c r="G13" s="929"/>
      <c r="H13" s="1549" t="str">
        <f>IF(LEN(H16&amp;H18&amp;H19&amp;H20)&gt;0,"Attenzione, le seguenti voci creano incongruenza perché magg. del 10% del totale:","OK")</f>
        <v>OK</v>
      </c>
      <c r="I13" s="908"/>
      <c r="J13" s="908"/>
      <c r="K13" s="908"/>
      <c r="L13" s="908"/>
      <c r="O13" s="898">
        <v>45</v>
      </c>
      <c r="P13" s="898">
        <v>7</v>
      </c>
      <c r="Q13" s="898" t="str">
        <f t="shared" si="3"/>
        <v>F11Z</v>
      </c>
      <c r="R13" s="930">
        <f t="shared" si="4"/>
        <v>0</v>
      </c>
      <c r="S13" s="898" t="str">
        <f t="shared" si="0"/>
        <v>SQ9</v>
      </c>
      <c r="T13" s="898">
        <v>45</v>
      </c>
      <c r="U13" s="898">
        <v>61</v>
      </c>
      <c r="V13" s="898" t="str">
        <f t="shared" si="1"/>
        <v>U06J</v>
      </c>
      <c r="W13" s="930">
        <f t="shared" si="2"/>
        <v>0</v>
      </c>
    </row>
    <row r="14" spans="1:23" ht="17.100000000000001" customHeight="1" x14ac:dyDescent="0.2">
      <c r="A14" s="931" t="s">
        <v>1153</v>
      </c>
      <c r="B14" s="951" t="s">
        <v>1104</v>
      </c>
      <c r="C14" s="929"/>
      <c r="D14" s="906"/>
      <c r="E14" s="933" t="s">
        <v>908</v>
      </c>
      <c r="F14" s="951" t="s">
        <v>750</v>
      </c>
      <c r="G14" s="929"/>
      <c r="H14" s="1552"/>
      <c r="I14" s="908"/>
      <c r="J14" s="908"/>
      <c r="K14" s="908"/>
      <c r="L14" s="908"/>
      <c r="O14" s="898">
        <v>45</v>
      </c>
      <c r="P14" s="898">
        <v>7</v>
      </c>
      <c r="Q14" s="898" t="str">
        <f t="shared" si="3"/>
        <v>F27P</v>
      </c>
      <c r="R14" s="930">
        <f t="shared" si="4"/>
        <v>0</v>
      </c>
      <c r="S14" s="898" t="str">
        <f t="shared" si="0"/>
        <v>SQ9</v>
      </c>
      <c r="T14" s="898">
        <v>45</v>
      </c>
      <c r="U14" s="898">
        <v>61</v>
      </c>
      <c r="V14" s="898" t="str">
        <f t="shared" si="1"/>
        <v>U02S</v>
      </c>
      <c r="W14" s="930">
        <f t="shared" si="2"/>
        <v>0</v>
      </c>
    </row>
    <row r="15" spans="1:23" ht="17.100000000000001" customHeight="1" x14ac:dyDescent="0.2">
      <c r="A15" s="887" t="s">
        <v>777</v>
      </c>
      <c r="B15" s="951" t="s">
        <v>492</v>
      </c>
      <c r="C15" s="929"/>
      <c r="D15" s="906"/>
      <c r="E15" s="933" t="s">
        <v>568</v>
      </c>
      <c r="F15" s="934" t="s">
        <v>472</v>
      </c>
      <c r="G15" s="929"/>
      <c r="H15" s="946"/>
      <c r="I15" s="908"/>
      <c r="J15" s="908"/>
      <c r="K15" s="908"/>
      <c r="L15" s="908"/>
      <c r="O15" s="898">
        <v>45</v>
      </c>
      <c r="P15" s="898">
        <v>7</v>
      </c>
      <c r="Q15" s="898" t="str">
        <f t="shared" si="3"/>
        <v>F93G</v>
      </c>
      <c r="R15" s="930">
        <f t="shared" si="4"/>
        <v>0</v>
      </c>
      <c r="S15" s="898" t="str">
        <f t="shared" si="0"/>
        <v>SQ9</v>
      </c>
      <c r="T15" s="937">
        <v>45</v>
      </c>
      <c r="U15" s="937">
        <v>61</v>
      </c>
      <c r="V15" s="937" t="str">
        <f>F15</f>
        <v>U998</v>
      </c>
      <c r="W15" s="938">
        <f>IF(ISNUMBER(G15),ROUND(G15,0),0)</f>
        <v>0</v>
      </c>
    </row>
    <row r="16" spans="1:23" ht="17.100000000000001" customHeight="1" thickBot="1" x14ac:dyDescent="0.25">
      <c r="A16" s="887" t="s">
        <v>778</v>
      </c>
      <c r="B16" s="951" t="s">
        <v>493</v>
      </c>
      <c r="C16" s="929"/>
      <c r="D16" s="906"/>
      <c r="E16" s="939" t="s">
        <v>843</v>
      </c>
      <c r="F16" s="988"/>
      <c r="G16" s="989">
        <f>SUM(G9:G15)</f>
        <v>0</v>
      </c>
      <c r="H16" s="953" t="str">
        <f>IF(C41&lt;&gt;0,IF(R18/ABS(C$41)&gt;0.1,"Fondo medici - Altre risorse fisse - F00O",""),"")</f>
        <v/>
      </c>
      <c r="I16" s="908"/>
      <c r="J16" s="908"/>
      <c r="K16" s="908"/>
      <c r="L16" s="908"/>
      <c r="O16" s="898">
        <v>45</v>
      </c>
      <c r="P16" s="898">
        <v>7</v>
      </c>
      <c r="Q16" s="898" t="str">
        <f>B16</f>
        <v>F18C</v>
      </c>
      <c r="R16" s="930">
        <f t="shared" si="4"/>
        <v>0</v>
      </c>
      <c r="S16" s="898" t="str">
        <f t="shared" si="0"/>
        <v>SQ9</v>
      </c>
      <c r="T16" s="898" t="s">
        <v>531</v>
      </c>
      <c r="U16" s="898"/>
      <c r="V16" s="898"/>
      <c r="W16" s="930"/>
    </row>
    <row r="17" spans="1:23" ht="17.100000000000001" customHeight="1" thickBot="1" x14ac:dyDescent="0.25">
      <c r="A17" s="887" t="s">
        <v>977</v>
      </c>
      <c r="B17" s="951" t="s">
        <v>844</v>
      </c>
      <c r="C17" s="929"/>
      <c r="D17" s="906"/>
      <c r="E17" s="1014" t="s">
        <v>571</v>
      </c>
      <c r="F17" s="1010"/>
      <c r="G17" s="1015">
        <f>G16</f>
        <v>0</v>
      </c>
      <c r="H17" s="953"/>
      <c r="I17" s="908"/>
      <c r="J17" s="908"/>
      <c r="K17" s="908"/>
      <c r="L17" s="908"/>
      <c r="O17" s="898">
        <v>45</v>
      </c>
      <c r="P17" s="898">
        <v>7</v>
      </c>
      <c r="Q17" s="898" t="str">
        <f>B17</f>
        <v>F16L</v>
      </c>
      <c r="R17" s="930">
        <f>IF(ISNUMBER(C17),ROUND(C17,0),0)</f>
        <v>0</v>
      </c>
      <c r="S17" s="898" t="str">
        <f t="shared" si="0"/>
        <v>SQ9</v>
      </c>
      <c r="U17" s="898"/>
      <c r="V17" s="898"/>
    </row>
    <row r="18" spans="1:23" ht="17.100000000000001" customHeight="1" x14ac:dyDescent="0.2">
      <c r="A18" s="887" t="s">
        <v>895</v>
      </c>
      <c r="B18" s="951" t="s">
        <v>896</v>
      </c>
      <c r="C18" s="929"/>
      <c r="D18" s="906"/>
      <c r="E18" s="1016"/>
      <c r="F18" s="1017"/>
      <c r="G18" s="1018"/>
      <c r="H18" s="953" t="str">
        <f>IF(C41&lt;&gt;0,IF(R32/ABS(C$41)&gt;0.1,"Fondo medici - Altre risorse variabili - F00O",""),"")</f>
        <v/>
      </c>
      <c r="I18" s="908"/>
      <c r="J18" s="908"/>
      <c r="K18" s="908"/>
      <c r="L18" s="908"/>
      <c r="O18" s="937">
        <v>45</v>
      </c>
      <c r="P18" s="937">
        <v>7</v>
      </c>
      <c r="Q18" s="937" t="str">
        <f>B18</f>
        <v>F00O</v>
      </c>
      <c r="R18" s="938">
        <f>IF(ISNUMBER(C18),ROUND(C18,0),0)</f>
        <v>0</v>
      </c>
      <c r="S18" s="898" t="str">
        <f t="shared" si="0"/>
        <v>SQ9</v>
      </c>
      <c r="U18" s="898"/>
      <c r="V18" s="898"/>
    </row>
    <row r="19" spans="1:23" ht="17.100000000000001" customHeight="1" thickBot="1" x14ac:dyDescent="0.25">
      <c r="A19" s="999" t="s">
        <v>345</v>
      </c>
      <c r="B19" s="988"/>
      <c r="C19" s="989">
        <f>SUM(C9:C18)</f>
        <v>0</v>
      </c>
      <c r="D19" s="906"/>
      <c r="E19" s="993"/>
      <c r="F19" s="997"/>
      <c r="G19" s="1019"/>
      <c r="H19" s="953" t="str">
        <f>IF(C41&lt;&gt;0,IF(R39/ABS(C$41)&gt;0.1,"Fondo medici - Altre decurtazioni - F01P",""),"")</f>
        <v/>
      </c>
      <c r="I19" s="908"/>
      <c r="J19" s="908"/>
      <c r="K19" s="908"/>
      <c r="L19" s="908"/>
      <c r="O19" s="950"/>
      <c r="P19" s="950"/>
      <c r="Q19" s="898"/>
      <c r="R19" s="930"/>
      <c r="S19" s="1020"/>
      <c r="T19" s="898"/>
      <c r="U19" s="898"/>
      <c r="V19" s="898"/>
    </row>
    <row r="20" spans="1:23" ht="17.100000000000001" customHeight="1" x14ac:dyDescent="0.2">
      <c r="A20" s="1021" t="s">
        <v>346</v>
      </c>
      <c r="B20" s="1022"/>
      <c r="C20" s="1023"/>
      <c r="D20" s="906"/>
      <c r="E20" s="993"/>
      <c r="F20" s="997"/>
      <c r="G20" s="1019"/>
      <c r="H20" s="953" t="str">
        <f>IF(G42&lt;&gt;0,IF(W15/ABS(G42)&gt;0.1,"Fondo medici - Altre destinazioni - U998",""),"")</f>
        <v/>
      </c>
      <c r="I20" s="908"/>
      <c r="J20" s="908"/>
      <c r="K20" s="908"/>
      <c r="L20" s="908"/>
      <c r="S20" s="1020"/>
      <c r="T20" s="950"/>
      <c r="U20" s="950"/>
      <c r="V20" s="898"/>
      <c r="W20" s="930"/>
    </row>
    <row r="21" spans="1:23" ht="17.100000000000001" customHeight="1" thickBot="1" x14ac:dyDescent="0.25">
      <c r="A21" s="887" t="s">
        <v>732</v>
      </c>
      <c r="B21" s="912" t="s">
        <v>465</v>
      </c>
      <c r="C21" s="929"/>
      <c r="D21" s="906"/>
      <c r="E21" s="993"/>
      <c r="F21" s="997"/>
      <c r="G21" s="1019"/>
      <c r="H21" s="1024"/>
      <c r="I21" s="908"/>
      <c r="J21" s="908"/>
      <c r="K21" s="908"/>
      <c r="L21" s="908"/>
      <c r="O21" s="950">
        <v>45</v>
      </c>
      <c r="P21" s="950">
        <v>9</v>
      </c>
      <c r="Q21" s="898" t="str">
        <f t="shared" ref="Q21:Q32" si="5">B21</f>
        <v>F50H</v>
      </c>
      <c r="R21" s="930">
        <f>IF(ISNUMBER(C21),ROUND(C21,0),0)</f>
        <v>0</v>
      </c>
      <c r="S21" s="898" t="str">
        <f t="shared" ref="S21:S32" si="6">VLOOKUP(O21,$Q:$R,2,FALSE)</f>
        <v>SQ9</v>
      </c>
      <c r="T21" s="898"/>
      <c r="U21" s="898"/>
      <c r="V21" s="898"/>
      <c r="W21" s="930"/>
    </row>
    <row r="22" spans="1:23" ht="17.100000000000001" customHeight="1" thickBot="1" x14ac:dyDescent="0.25">
      <c r="A22" s="962" t="s">
        <v>733</v>
      </c>
      <c r="B22" s="912" t="s">
        <v>466</v>
      </c>
      <c r="C22" s="929"/>
      <c r="D22" s="906"/>
      <c r="E22" s="993"/>
      <c r="F22" s="997"/>
      <c r="G22" s="1019"/>
      <c r="H22" s="935" t="s">
        <v>992</v>
      </c>
      <c r="I22" s="1025"/>
      <c r="J22" s="1025"/>
      <c r="K22" s="1025"/>
      <c r="L22" s="1025"/>
      <c r="O22" s="950">
        <v>45</v>
      </c>
      <c r="P22" s="950">
        <v>9</v>
      </c>
      <c r="Q22" s="898" t="str">
        <f t="shared" si="5"/>
        <v>F51H</v>
      </c>
      <c r="R22" s="930">
        <f t="shared" ref="R22:R31" si="7">IF(ISNUMBER(C22),ROUND(C22,0),0)</f>
        <v>0</v>
      </c>
      <c r="S22" s="898" t="str">
        <f t="shared" si="6"/>
        <v>SQ9</v>
      </c>
      <c r="V22" s="898"/>
    </row>
    <row r="23" spans="1:23" ht="17.100000000000001" customHeight="1" x14ac:dyDescent="0.2">
      <c r="A23" s="887" t="s">
        <v>779</v>
      </c>
      <c r="B23" s="912" t="s">
        <v>484</v>
      </c>
      <c r="C23" s="929"/>
      <c r="D23" s="906"/>
      <c r="E23" s="993"/>
      <c r="F23" s="997"/>
      <c r="G23" s="1019"/>
      <c r="H23" s="1552" t="str">
        <f>IF(AND(SUMIF($O:$O,$Q1,$R:$R)&lt;&gt;0,SUM('SICI(3)'!$F$13,'SICI(3)'!$F$17)&gt;0),IF(SUMIFS($R:$R,$P:$P,"&lt;&gt;81",$O:$O,$Q1)-SUMIFS($R:$R,$P:$P,"81",$O:$O,$Q1)-SUMIF($T:$T,$Q1,$W:$W)&lt;0,"Attenzione, nelle seguenti sezioni le destinazioni risultano superiori alle relative risorse e generano pertanto squadratura 8: "&amp;CHAR(10)&amp;A7,"OK"),"OK")</f>
        <v>OK</v>
      </c>
      <c r="I23" s="1025"/>
      <c r="J23" s="1025"/>
      <c r="K23" s="1025"/>
      <c r="L23" s="1025"/>
      <c r="O23" s="950">
        <v>45</v>
      </c>
      <c r="P23" s="950">
        <v>9</v>
      </c>
      <c r="Q23" s="898" t="str">
        <f t="shared" si="5"/>
        <v>F94G</v>
      </c>
      <c r="R23" s="930">
        <f t="shared" si="7"/>
        <v>0</v>
      </c>
      <c r="S23" s="898" t="str">
        <f t="shared" si="6"/>
        <v>SQ9</v>
      </c>
      <c r="U23" s="898"/>
      <c r="V23" s="898"/>
    </row>
    <row r="24" spans="1:23" ht="17.100000000000001" customHeight="1" x14ac:dyDescent="0.2">
      <c r="A24" s="887" t="s">
        <v>781</v>
      </c>
      <c r="B24" s="912" t="s">
        <v>485</v>
      </c>
      <c r="C24" s="929"/>
      <c r="D24" s="906"/>
      <c r="E24" s="993"/>
      <c r="F24" s="997"/>
      <c r="G24" s="1019"/>
      <c r="H24" s="1552"/>
      <c r="I24" s="1026"/>
      <c r="J24" s="1026"/>
      <c r="K24" s="1026"/>
      <c r="L24" s="1026"/>
      <c r="O24" s="950">
        <v>45</v>
      </c>
      <c r="P24" s="950">
        <v>9</v>
      </c>
      <c r="Q24" s="898" t="str">
        <f t="shared" si="5"/>
        <v>F19C</v>
      </c>
      <c r="R24" s="930">
        <f t="shared" si="7"/>
        <v>0</v>
      </c>
      <c r="S24" s="898" t="str">
        <f t="shared" si="6"/>
        <v>SQ9</v>
      </c>
      <c r="T24" s="898"/>
      <c r="U24" s="898"/>
      <c r="V24" s="898"/>
    </row>
    <row r="25" spans="1:23" ht="17.100000000000001" customHeight="1" x14ac:dyDescent="0.2">
      <c r="A25" s="887" t="s">
        <v>782</v>
      </c>
      <c r="B25" s="912" t="s">
        <v>486</v>
      </c>
      <c r="C25" s="929"/>
      <c r="D25" s="906"/>
      <c r="E25" s="993"/>
      <c r="F25" s="997"/>
      <c r="G25" s="996"/>
      <c r="H25" s="1552"/>
      <c r="I25" s="1026"/>
      <c r="J25" s="1026"/>
      <c r="K25" s="1026"/>
      <c r="L25" s="1026"/>
      <c r="O25" s="950">
        <v>45</v>
      </c>
      <c r="P25" s="950">
        <v>9</v>
      </c>
      <c r="Q25" s="898" t="str">
        <f t="shared" si="5"/>
        <v>F20C</v>
      </c>
      <c r="R25" s="930">
        <f t="shared" si="7"/>
        <v>0</v>
      </c>
      <c r="S25" s="898" t="str">
        <f t="shared" si="6"/>
        <v>SQ9</v>
      </c>
      <c r="T25" s="898"/>
      <c r="U25" s="898"/>
      <c r="V25" s="898"/>
    </row>
    <row r="26" spans="1:23" ht="17.100000000000001" customHeight="1" thickBot="1" x14ac:dyDescent="0.25">
      <c r="A26" s="887" t="s">
        <v>783</v>
      </c>
      <c r="B26" s="912" t="s">
        <v>487</v>
      </c>
      <c r="C26" s="929"/>
      <c r="D26" s="906"/>
      <c r="E26" s="993"/>
      <c r="F26" s="997"/>
      <c r="G26" s="996"/>
      <c r="H26" s="1553"/>
      <c r="I26" s="1026"/>
      <c r="J26" s="1026"/>
      <c r="K26" s="1026"/>
      <c r="L26" s="1026"/>
      <c r="O26" s="950">
        <v>45</v>
      </c>
      <c r="P26" s="950">
        <v>9</v>
      </c>
      <c r="Q26" s="898" t="str">
        <f t="shared" si="5"/>
        <v>F22C</v>
      </c>
      <c r="R26" s="930">
        <f t="shared" si="7"/>
        <v>0</v>
      </c>
      <c r="S26" s="898" t="str">
        <f t="shared" si="6"/>
        <v>SQ9</v>
      </c>
      <c r="T26" s="898"/>
      <c r="U26" s="898"/>
      <c r="V26" s="898"/>
    </row>
    <row r="27" spans="1:23" ht="17.100000000000001" customHeight="1" x14ac:dyDescent="0.2">
      <c r="A27" s="887" t="s">
        <v>897</v>
      </c>
      <c r="B27" s="912" t="s">
        <v>898</v>
      </c>
      <c r="C27" s="929"/>
      <c r="D27" s="906"/>
      <c r="E27" s="993"/>
      <c r="F27" s="997"/>
      <c r="G27" s="996"/>
      <c r="H27" s="1026"/>
      <c r="I27" s="1026"/>
      <c r="J27" s="1026"/>
      <c r="K27" s="1026"/>
      <c r="L27" s="1026"/>
      <c r="O27" s="950">
        <v>45</v>
      </c>
      <c r="P27" s="950">
        <v>9</v>
      </c>
      <c r="Q27" s="898" t="str">
        <f t="shared" si="5"/>
        <v>F19S</v>
      </c>
      <c r="R27" s="930">
        <f t="shared" si="7"/>
        <v>0</v>
      </c>
      <c r="S27" s="898" t="str">
        <f t="shared" si="6"/>
        <v>SQ9</v>
      </c>
      <c r="T27" s="898"/>
      <c r="U27" s="898"/>
      <c r="V27" s="898"/>
    </row>
    <row r="28" spans="1:23" ht="17.100000000000001" customHeight="1" x14ac:dyDescent="0.2">
      <c r="A28" s="887" t="s">
        <v>780</v>
      </c>
      <c r="B28" s="912" t="s">
        <v>488</v>
      </c>
      <c r="C28" s="929"/>
      <c r="D28" s="906"/>
      <c r="E28" s="993"/>
      <c r="F28" s="997"/>
      <c r="G28" s="996"/>
      <c r="H28" s="1026"/>
      <c r="I28" s="1026"/>
      <c r="J28" s="1026"/>
      <c r="K28" s="1026"/>
      <c r="L28" s="1026"/>
      <c r="O28" s="950">
        <v>45</v>
      </c>
      <c r="P28" s="950">
        <v>9</v>
      </c>
      <c r="Q28" s="898" t="str">
        <f t="shared" si="5"/>
        <v>F23C</v>
      </c>
      <c r="R28" s="930">
        <f t="shared" si="7"/>
        <v>0</v>
      </c>
      <c r="S28" s="898" t="str">
        <f t="shared" si="6"/>
        <v>SQ9</v>
      </c>
      <c r="T28" s="898"/>
      <c r="U28" s="898"/>
      <c r="V28" s="898"/>
    </row>
    <row r="29" spans="1:23" ht="17.100000000000001" customHeight="1" x14ac:dyDescent="0.2">
      <c r="A29" s="887" t="s">
        <v>734</v>
      </c>
      <c r="B29" s="912" t="s">
        <v>567</v>
      </c>
      <c r="C29" s="929"/>
      <c r="D29" s="906"/>
      <c r="E29" s="993"/>
      <c r="F29" s="997"/>
      <c r="G29" s="996"/>
      <c r="H29" s="1026"/>
      <c r="I29" s="1026"/>
      <c r="J29" s="1026"/>
      <c r="K29" s="1026"/>
      <c r="L29" s="1026"/>
      <c r="O29" s="950">
        <v>45</v>
      </c>
      <c r="P29" s="950">
        <v>9</v>
      </c>
      <c r="Q29" s="898" t="str">
        <f t="shared" si="5"/>
        <v>F96H</v>
      </c>
      <c r="R29" s="930">
        <f t="shared" si="7"/>
        <v>0</v>
      </c>
      <c r="S29" s="898" t="str">
        <f t="shared" si="6"/>
        <v>SQ9</v>
      </c>
      <c r="T29" s="898"/>
      <c r="U29" s="898"/>
      <c r="V29" s="898"/>
    </row>
    <row r="30" spans="1:23" ht="17.100000000000001" customHeight="1" x14ac:dyDescent="0.2">
      <c r="A30" s="887" t="s">
        <v>1098</v>
      </c>
      <c r="B30" s="1356" t="s">
        <v>1099</v>
      </c>
      <c r="C30" s="929"/>
      <c r="D30" s="906"/>
      <c r="E30" s="993"/>
      <c r="F30" s="997"/>
      <c r="G30" s="996"/>
      <c r="H30" s="1026"/>
      <c r="I30" s="1026"/>
      <c r="J30" s="1026"/>
      <c r="K30" s="1026"/>
      <c r="L30" s="1026"/>
      <c r="O30" s="950">
        <v>45</v>
      </c>
      <c r="P30" s="950">
        <v>9</v>
      </c>
      <c r="Q30" s="898" t="str">
        <f>B30</f>
        <v>F24T</v>
      </c>
      <c r="R30" s="930">
        <f>IF(ISNUMBER(C30),ROUND(C30,0),0)</f>
        <v>0</v>
      </c>
      <c r="S30" s="898" t="str">
        <f t="shared" si="6"/>
        <v>SQ9</v>
      </c>
      <c r="T30" s="898"/>
      <c r="U30" s="898"/>
      <c r="V30" s="898"/>
    </row>
    <row r="31" spans="1:23" ht="17.100000000000001" customHeight="1" x14ac:dyDescent="0.2">
      <c r="A31" s="931" t="s">
        <v>1100</v>
      </c>
      <c r="B31" s="932" t="s">
        <v>470</v>
      </c>
      <c r="C31" s="929"/>
      <c r="D31" s="906"/>
      <c r="E31" s="993"/>
      <c r="F31" s="997"/>
      <c r="G31" s="996"/>
      <c r="H31" s="1026"/>
      <c r="I31" s="1026"/>
      <c r="J31" s="1026"/>
      <c r="K31" s="1026"/>
      <c r="L31" s="1026"/>
      <c r="O31" s="950">
        <v>45</v>
      </c>
      <c r="P31" s="950">
        <v>9</v>
      </c>
      <c r="Q31" s="898" t="str">
        <f t="shared" si="5"/>
        <v>F999</v>
      </c>
      <c r="R31" s="930">
        <f t="shared" si="7"/>
        <v>0</v>
      </c>
      <c r="S31" s="898" t="str">
        <f t="shared" si="6"/>
        <v>SQ9</v>
      </c>
      <c r="T31" s="898"/>
      <c r="U31" s="898"/>
      <c r="V31" s="898"/>
    </row>
    <row r="32" spans="1:23" ht="17.100000000000001" customHeight="1" x14ac:dyDescent="0.2">
      <c r="A32" s="887" t="s">
        <v>895</v>
      </c>
      <c r="B32" s="951" t="s">
        <v>896</v>
      </c>
      <c r="C32" s="929"/>
      <c r="D32" s="906"/>
      <c r="E32" s="993"/>
      <c r="F32" s="997"/>
      <c r="G32" s="996"/>
      <c r="H32" s="1027"/>
      <c r="I32" s="1026"/>
      <c r="J32" s="1026"/>
      <c r="K32" s="1026"/>
      <c r="L32" s="1026"/>
      <c r="O32" s="964">
        <v>45</v>
      </c>
      <c r="P32" s="964">
        <v>9</v>
      </c>
      <c r="Q32" s="937" t="str">
        <f t="shared" si="5"/>
        <v>F00O</v>
      </c>
      <c r="R32" s="938">
        <f>IF(ISNUMBER(C32),ROUND(C32,0),0)</f>
        <v>0</v>
      </c>
      <c r="S32" s="898" t="str">
        <f t="shared" si="6"/>
        <v>SQ9</v>
      </c>
      <c r="T32" s="898"/>
      <c r="U32" s="898"/>
      <c r="V32" s="898"/>
    </row>
    <row r="33" spans="1:23" ht="17.100000000000001" customHeight="1" thickBot="1" x14ac:dyDescent="0.25">
      <c r="A33" s="999" t="s">
        <v>347</v>
      </c>
      <c r="B33" s="988"/>
      <c r="C33" s="989">
        <f>SUM(C21:C32)</f>
        <v>0</v>
      </c>
      <c r="D33" s="906"/>
      <c r="E33" s="993"/>
      <c r="F33" s="997"/>
      <c r="G33" s="996"/>
      <c r="H33" s="1026"/>
      <c r="I33" s="1026"/>
      <c r="J33" s="1026"/>
      <c r="K33" s="1026"/>
      <c r="L33" s="1026"/>
      <c r="O33" s="898"/>
      <c r="P33" s="898"/>
      <c r="Q33" s="898"/>
      <c r="R33" s="930"/>
      <c r="S33" s="898"/>
      <c r="T33" s="898"/>
      <c r="U33" s="898"/>
      <c r="V33" s="898"/>
    </row>
    <row r="34" spans="1:23" ht="17.100000000000001" customHeight="1" x14ac:dyDescent="0.2">
      <c r="A34" s="1021" t="s">
        <v>713</v>
      </c>
      <c r="B34" s="1022"/>
      <c r="C34" s="1028"/>
      <c r="D34" s="906"/>
      <c r="E34" s="993"/>
      <c r="F34" s="997"/>
      <c r="G34" s="996"/>
      <c r="I34" s="1026"/>
      <c r="J34" s="1026"/>
      <c r="K34" s="1026"/>
      <c r="L34" s="1026"/>
      <c r="S34" s="898"/>
      <c r="T34" s="898"/>
      <c r="U34" s="898"/>
      <c r="V34" s="898"/>
    </row>
    <row r="35" spans="1:23" ht="17.100000000000001" customHeight="1" x14ac:dyDescent="0.2">
      <c r="A35" s="887" t="s">
        <v>738</v>
      </c>
      <c r="B35" s="912" t="s">
        <v>714</v>
      </c>
      <c r="C35" s="929"/>
      <c r="D35" s="906"/>
      <c r="E35" s="993"/>
      <c r="F35" s="997"/>
      <c r="G35" s="996"/>
      <c r="I35" s="1026"/>
      <c r="J35" s="1026"/>
      <c r="K35" s="1026"/>
      <c r="L35" s="1026"/>
      <c r="O35" s="898">
        <v>45</v>
      </c>
      <c r="P35" s="898">
        <v>81</v>
      </c>
      <c r="Q35" s="898" t="str">
        <f>B35</f>
        <v>F02P</v>
      </c>
      <c r="R35" s="930">
        <f>IF(ISNUMBER(C35),ROUND(C35,0),0)</f>
        <v>0</v>
      </c>
      <c r="S35" s="898" t="str">
        <f>VLOOKUP(O35,$Q:$R,2,FALSE)</f>
        <v>SQ9</v>
      </c>
      <c r="T35" s="898"/>
      <c r="U35" s="898"/>
      <c r="V35" s="898"/>
    </row>
    <row r="36" spans="1:23" ht="17.100000000000001" customHeight="1" x14ac:dyDescent="0.2">
      <c r="A36" s="887" t="s">
        <v>739</v>
      </c>
      <c r="B36" s="912" t="s">
        <v>599</v>
      </c>
      <c r="C36" s="929"/>
      <c r="D36" s="906"/>
      <c r="E36" s="993"/>
      <c r="F36" s="997"/>
      <c r="G36" s="996"/>
      <c r="I36" s="1026"/>
      <c r="J36" s="1026"/>
      <c r="K36" s="1026"/>
      <c r="L36" s="1026"/>
      <c r="O36" s="898">
        <v>45</v>
      </c>
      <c r="P36" s="898">
        <v>81</v>
      </c>
      <c r="Q36" s="898" t="str">
        <f>B36</f>
        <v>F27I</v>
      </c>
      <c r="R36" s="930">
        <f>IF(ISNUMBER(C36),ROUND(C36,0),0)</f>
        <v>0</v>
      </c>
      <c r="S36" s="898" t="str">
        <f>VLOOKUP(O36,$Q:$R,2,FALSE)</f>
        <v>SQ9</v>
      </c>
      <c r="T36" s="898"/>
      <c r="U36" s="898"/>
      <c r="V36" s="898"/>
    </row>
    <row r="37" spans="1:23" ht="17.25" customHeight="1" x14ac:dyDescent="0.2">
      <c r="A37" s="887" t="s">
        <v>784</v>
      </c>
      <c r="B37" s="912" t="s">
        <v>715</v>
      </c>
      <c r="C37" s="929"/>
      <c r="D37" s="906"/>
      <c r="E37" s="993"/>
      <c r="F37" s="997"/>
      <c r="G37" s="996"/>
      <c r="I37" s="1026"/>
      <c r="J37" s="1026"/>
      <c r="K37" s="1026"/>
      <c r="L37" s="1026"/>
      <c r="O37" s="898">
        <v>45</v>
      </c>
      <c r="P37" s="898">
        <v>81</v>
      </c>
      <c r="Q37" s="898" t="str">
        <f>B37</f>
        <v>F00P</v>
      </c>
      <c r="R37" s="930">
        <f>IF(ISNUMBER(C37),ROUND(C37,0),0)</f>
        <v>0</v>
      </c>
      <c r="S37" s="898" t="str">
        <f>VLOOKUP(O37,$Q:$R,2,FALSE)</f>
        <v>SQ9</v>
      </c>
      <c r="T37" s="898"/>
      <c r="U37" s="898"/>
      <c r="V37" s="898"/>
    </row>
    <row r="38" spans="1:23" ht="17.100000000000001" customHeight="1" x14ac:dyDescent="0.2">
      <c r="A38" s="887" t="s">
        <v>740</v>
      </c>
      <c r="B38" s="974" t="s">
        <v>741</v>
      </c>
      <c r="C38" s="929"/>
      <c r="D38" s="906"/>
      <c r="E38" s="993"/>
      <c r="F38" s="997"/>
      <c r="G38" s="996"/>
      <c r="I38" s="1029"/>
      <c r="J38" s="1029"/>
      <c r="K38" s="1030"/>
      <c r="L38" s="1031"/>
      <c r="O38" s="898">
        <v>45</v>
      </c>
      <c r="P38" s="898">
        <v>81</v>
      </c>
      <c r="Q38" s="898" t="str">
        <f>B38</f>
        <v>F01S</v>
      </c>
      <c r="R38" s="930">
        <f>IF(ISNUMBER(C38),ROUND(C38,0),0)</f>
        <v>0</v>
      </c>
      <c r="S38" s="898" t="str">
        <f>VLOOKUP(O38,$Q:$R,2,FALSE)</f>
        <v>SQ9</v>
      </c>
      <c r="T38" s="898"/>
      <c r="U38" s="898"/>
      <c r="V38" s="898"/>
    </row>
    <row r="39" spans="1:23" ht="17.100000000000001" customHeight="1" x14ac:dyDescent="0.2">
      <c r="A39" s="887" t="s">
        <v>899</v>
      </c>
      <c r="B39" s="951" t="s">
        <v>716</v>
      </c>
      <c r="C39" s="929"/>
      <c r="D39" s="906"/>
      <c r="E39" s="993"/>
      <c r="F39" s="997"/>
      <c r="G39" s="996"/>
      <c r="I39" s="1026"/>
      <c r="J39" s="1026"/>
      <c r="K39" s="1026"/>
      <c r="L39" s="1026"/>
      <c r="O39" s="937">
        <v>45</v>
      </c>
      <c r="P39" s="937">
        <v>81</v>
      </c>
      <c r="Q39" s="937" t="str">
        <f>B39</f>
        <v>F01P</v>
      </c>
      <c r="R39" s="938">
        <f>IF(ISNUMBER(C39),ROUND(C39,0),0)</f>
        <v>0</v>
      </c>
      <c r="S39" s="898" t="str">
        <f>VLOOKUP(O39,$Q:$R,2,FALSE)</f>
        <v>SQ9</v>
      </c>
      <c r="T39" s="898"/>
      <c r="U39" s="898"/>
      <c r="V39" s="898"/>
    </row>
    <row r="40" spans="1:23" ht="17.100000000000001" customHeight="1" thickBot="1" x14ac:dyDescent="0.25">
      <c r="A40" s="1006" t="s">
        <v>717</v>
      </c>
      <c r="B40" s="1007"/>
      <c r="C40" s="1008">
        <f>SUM(C35:C39)</f>
        <v>0</v>
      </c>
      <c r="D40" s="993"/>
      <c r="E40" s="993"/>
      <c r="F40" s="997"/>
      <c r="G40" s="996"/>
      <c r="O40" s="898" t="s">
        <v>531</v>
      </c>
      <c r="P40" s="898"/>
      <c r="Q40" s="898"/>
      <c r="R40" s="930"/>
      <c r="S40" s="898"/>
      <c r="T40" s="898"/>
      <c r="U40" s="898"/>
      <c r="V40" s="898"/>
    </row>
    <row r="41" spans="1:23" ht="17.100000000000001" customHeight="1" thickBot="1" x14ac:dyDescent="0.25">
      <c r="A41" s="1009" t="s">
        <v>571</v>
      </c>
      <c r="B41" s="1032"/>
      <c r="C41" s="1033">
        <f>C19+C33-C40</f>
        <v>0</v>
      </c>
      <c r="D41" s="1034"/>
      <c r="E41" s="1035"/>
      <c r="F41" s="1036"/>
      <c r="G41" s="1013"/>
      <c r="O41" s="898"/>
      <c r="P41" s="898"/>
      <c r="Q41" s="898"/>
      <c r="R41" s="930"/>
      <c r="S41" s="898"/>
      <c r="T41" s="898"/>
      <c r="U41" s="898"/>
      <c r="V41" s="898"/>
    </row>
    <row r="42" spans="1:23" ht="17.100000000000001" customHeight="1" thickBot="1" x14ac:dyDescent="0.25">
      <c r="A42" s="983" t="s">
        <v>900</v>
      </c>
      <c r="B42" s="1010"/>
      <c r="C42" s="1037">
        <f>C41</f>
        <v>0</v>
      </c>
      <c r="D42" s="1034"/>
      <c r="E42" s="985" t="s">
        <v>901</v>
      </c>
      <c r="F42" s="1038"/>
      <c r="G42" s="1039">
        <f>G17</f>
        <v>0</v>
      </c>
      <c r="P42" s="898"/>
      <c r="Q42" s="898"/>
      <c r="R42" s="898"/>
      <c r="T42" s="898"/>
      <c r="U42" s="898"/>
      <c r="V42" s="898"/>
    </row>
    <row r="43" spans="1:23" ht="4.9000000000000004" customHeight="1" x14ac:dyDescent="0.2">
      <c r="O43" s="898"/>
      <c r="P43" s="898"/>
      <c r="Q43" s="898"/>
      <c r="R43" s="930"/>
      <c r="T43" s="898"/>
      <c r="U43" s="898"/>
      <c r="V43" s="898"/>
      <c r="W43" s="898"/>
    </row>
    <row r="44" spans="1:23" x14ac:dyDescent="0.2">
      <c r="A44" s="821" t="s">
        <v>993</v>
      </c>
      <c r="Q44" s="898"/>
    </row>
    <row r="45" spans="1:23" s="767" customFormat="1" ht="15" x14ac:dyDescent="0.2">
      <c r="A45" s="821" t="s">
        <v>1105</v>
      </c>
      <c r="B45" s="942"/>
      <c r="C45" s="987"/>
      <c r="T45" s="821"/>
      <c r="U45" s="821"/>
      <c r="V45" s="821"/>
      <c r="W45" s="821"/>
    </row>
    <row r="46" spans="1:23" ht="15" x14ac:dyDescent="0.2">
      <c r="T46" s="767"/>
      <c r="U46" s="767"/>
      <c r="V46" s="767"/>
      <c r="W46" s="767"/>
    </row>
  </sheetData>
  <sheetProtection algorithmName="SHA-512" hashValue="bg1nV58doUaHEEyWEk68BGEE3pJTbP6d+FQ6diBEOuBoO9vJ+n6WmO5Rvk5bQKj6/DIKG94CrbYteRDq0OhFhA==" saltValue="oTr9EbU5DTOPU00TiN15RA==" spinCount="100000" sheet="1" formatColumns="0" selectLockedCells="1"/>
  <mergeCells count="3">
    <mergeCell ref="H6:H11"/>
    <mergeCell ref="H13:H14"/>
    <mergeCell ref="H23:H26"/>
  </mergeCells>
  <dataValidations count="2">
    <dataValidation type="whole" allowBlank="1" showInputMessage="1" showErrorMessage="1" errorTitle="ERRORE NEL DATO IMMESSO" error="INSERIRE SOLO NUMERI INTERI" sqref="C21:C32 C9:C18 C35:C39 G9:G15" xr:uid="{E032042A-F76F-4019-8AF2-94FDC8DAFF99}">
      <formula1>0</formula1>
      <formula2>999999999999</formula2>
    </dataValidation>
    <dataValidation type="whole" allowBlank="1" showInputMessage="1" showErrorMessage="1" errorTitle="ERRORE NEL DATO IMMESSO" error="INSERIRE SOLO NUMERI INTERI" sqref="C19 G16 C33:C34 C40:C41" xr:uid="{44C1EEF3-31FD-45A1-A642-B15B3F535249}">
      <formula1>-999999999999</formula1>
      <formula2>999999999999</formula2>
    </dataValidation>
  </dataValidations>
  <printOptions horizontalCentered="1"/>
  <pageMargins left="0.39370078740157483" right="0.39370078740157483" top="0.78740157480314965" bottom="0.39370078740157483" header="0.51181102362204722" footer="0.15748031496062992"/>
  <pageSetup paperSize="9" scale="61" orientation="portrait" horizontalDpi="300" verticalDpi="4294967292"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W49"/>
  <sheetViews>
    <sheetView showGridLines="0" zoomScale="80" zoomScaleNormal="80" workbookViewId="0">
      <selection activeCell="C9" sqref="C9"/>
    </sheetView>
  </sheetViews>
  <sheetFormatPr defaultColWidth="12.6640625" defaultRowHeight="11.25" x14ac:dyDescent="0.2"/>
  <cols>
    <col min="1" max="1" width="65.6640625" style="821" customWidth="1"/>
    <col min="2" max="2" width="10.6640625" style="898" customWidth="1"/>
    <col min="3" max="3" width="20.6640625" style="821" customWidth="1"/>
    <col min="4" max="4" width="3.33203125" style="821" customWidth="1"/>
    <col min="5" max="5" width="65.6640625" style="821" customWidth="1"/>
    <col min="6" max="6" width="10.6640625" style="821" customWidth="1"/>
    <col min="7" max="7" width="20.6640625" style="821" customWidth="1"/>
    <col min="8" max="8" width="73.33203125" style="821" customWidth="1"/>
    <col min="9" max="12" width="12.6640625" style="821" customWidth="1"/>
    <col min="13" max="14" width="12.6640625" style="821"/>
    <col min="15" max="18" width="12.6640625" style="821" hidden="1" customWidth="1"/>
    <col min="19" max="19" width="5.5" style="821" hidden="1" customWidth="1"/>
    <col min="20" max="23" width="12.6640625" style="821" hidden="1" customWidth="1"/>
    <col min="24" max="16384" width="12.6640625" style="821"/>
  </cols>
  <sheetData>
    <row r="1" spans="1:23" ht="43.5" customHeight="1" x14ac:dyDescent="0.2">
      <c r="A1" s="894" t="str">
        <f>'t1'!$A$1</f>
        <v>ENTI PUBBLICI NON ECONOMICI - anno 2024</v>
      </c>
      <c r="B1" s="895"/>
      <c r="C1" s="895"/>
      <c r="D1" s="895"/>
      <c r="E1" s="895"/>
      <c r="F1" s="895"/>
      <c r="G1" s="895"/>
      <c r="H1" s="896" t="s">
        <v>458</v>
      </c>
      <c r="Q1" s="897">
        <v>28</v>
      </c>
      <c r="R1" s="897" t="s">
        <v>630</v>
      </c>
    </row>
    <row r="2" spans="1:23" ht="15.4" customHeight="1" x14ac:dyDescent="0.2">
      <c r="N2"/>
      <c r="O2" s="822"/>
      <c r="P2" s="822"/>
      <c r="Q2" s="822"/>
      <c r="R2" s="899"/>
      <c r="S2" s="899"/>
      <c r="T2" s="822"/>
      <c r="U2" s="822"/>
      <c r="V2" s="822"/>
      <c r="W2" s="899"/>
    </row>
    <row r="3" spans="1:23" ht="44.65" customHeight="1" x14ac:dyDescent="0.2">
      <c r="A3" s="900"/>
      <c r="B3" s="901"/>
      <c r="C3" s="901"/>
      <c r="D3" s="901"/>
      <c r="E3" s="901"/>
      <c r="F3" s="901"/>
      <c r="G3" s="901"/>
      <c r="N3"/>
      <c r="O3" s="902"/>
      <c r="P3" s="902"/>
      <c r="Q3" s="822"/>
      <c r="R3" s="899"/>
      <c r="S3" s="899"/>
      <c r="T3" s="902"/>
      <c r="U3" s="902"/>
      <c r="V3" s="822"/>
      <c r="W3" s="899"/>
    </row>
    <row r="4" spans="1:23" ht="15.4" customHeight="1" thickBot="1" x14ac:dyDescent="0.25">
      <c r="N4"/>
      <c r="O4" s="822"/>
      <c r="P4" s="822"/>
      <c r="Q4" s="822"/>
      <c r="R4" s="899"/>
      <c r="S4" s="899"/>
      <c r="T4" s="822"/>
      <c r="U4" s="822"/>
      <c r="V4" s="822"/>
      <c r="W4" s="899"/>
    </row>
    <row r="5" spans="1:23" ht="25.5" customHeight="1" thickBot="1" x14ac:dyDescent="0.25">
      <c r="A5" s="903" t="s">
        <v>990</v>
      </c>
      <c r="B5" s="904"/>
      <c r="C5" s="905"/>
      <c r="D5" s="906"/>
      <c r="E5" s="903" t="s">
        <v>991</v>
      </c>
      <c r="F5" s="904"/>
      <c r="G5" s="905"/>
      <c r="H5" s="907" t="s">
        <v>631</v>
      </c>
      <c r="I5" s="908"/>
      <c r="J5" s="908"/>
      <c r="K5" s="908"/>
      <c r="L5" s="908"/>
      <c r="N5" s="909"/>
      <c r="O5" s="909"/>
      <c r="P5" s="909"/>
      <c r="Q5" s="909"/>
    </row>
    <row r="6" spans="1:23" ht="18" customHeight="1" x14ac:dyDescent="0.2">
      <c r="A6" s="910" t="s">
        <v>115</v>
      </c>
      <c r="B6" s="912" t="s">
        <v>116</v>
      </c>
      <c r="C6" s="912" t="s">
        <v>230</v>
      </c>
      <c r="D6" s="913"/>
      <c r="E6" s="910" t="s">
        <v>115</v>
      </c>
      <c r="F6" s="951" t="s">
        <v>116</v>
      </c>
      <c r="G6" s="915" t="s">
        <v>230</v>
      </c>
      <c r="H6" s="1549" t="str">
        <f>IF(AND(SUMIF($S:$S,"SQ9",$R:$R)=0,ISBLANK('SICI(4)'!F13),ISBLANK('SICI(4)'!F17)),"OK",IF(AND(ABS(SUMIF($S:$S,"SQ9",$R:$R))&gt;0,ISBLANK('SICI(4)'!F13),ISBLANK('SICI(4)'!F17)),"Attenzione: inserire le voci di costituzione del fondo unicamente in presenza di certificazione dello stesso (cfr. SICI GEN353 o GEN355) !",IF(AND(SUMIF($S:$S,"SQ9",$R:$R)=0,SUM('SICI(4)'!F13,'SICI(4)'!F17)&gt;0),"Attenzione: in presenza di date di certificazione del fondo (cfr. SICI GEN353 o GEN355) è necessario compilare il lato costituzione di T15 !","OK")))</f>
        <v>OK</v>
      </c>
      <c r="I6" s="908"/>
      <c r="J6" s="908"/>
      <c r="K6" s="908"/>
      <c r="L6" s="908"/>
      <c r="M6" s="909"/>
      <c r="N6" s="909"/>
      <c r="O6" s="909"/>
      <c r="P6" s="909"/>
      <c r="Q6" s="909"/>
    </row>
    <row r="7" spans="1:23" ht="17.100000000000001" customHeight="1" x14ac:dyDescent="0.25">
      <c r="A7" s="916" t="s">
        <v>642</v>
      </c>
      <c r="B7" s="917"/>
      <c r="C7" s="918"/>
      <c r="D7" s="919"/>
      <c r="E7" s="916" t="str">
        <f>A7</f>
        <v>Fondo Area dei Professionisti</v>
      </c>
      <c r="F7" s="917"/>
      <c r="G7" s="918"/>
      <c r="H7" s="1552"/>
      <c r="I7" s="908"/>
      <c r="J7" s="908"/>
      <c r="K7" s="908"/>
      <c r="L7" s="908"/>
      <c r="O7" s="763" t="s">
        <v>633</v>
      </c>
      <c r="P7" s="920"/>
      <c r="Q7" s="921"/>
      <c r="R7" s="921"/>
      <c r="S7" s="899"/>
      <c r="T7" s="763" t="s">
        <v>634</v>
      </c>
      <c r="U7" s="920"/>
      <c r="V7" s="921"/>
      <c r="W7" s="921"/>
    </row>
    <row r="8" spans="1:23" ht="17.100000000000001" customHeight="1" x14ac:dyDescent="0.2">
      <c r="A8" s="922" t="s">
        <v>635</v>
      </c>
      <c r="B8" s="923"/>
      <c r="C8" s="924"/>
      <c r="D8" s="925"/>
      <c r="E8" s="926" t="s">
        <v>842</v>
      </c>
      <c r="F8" s="927"/>
      <c r="G8" s="928"/>
      <c r="H8" s="1552"/>
      <c r="I8" s="908"/>
      <c r="J8" s="908"/>
      <c r="K8" s="908"/>
      <c r="L8" s="908"/>
      <c r="O8" s="764" t="s">
        <v>636</v>
      </c>
      <c r="P8" s="764" t="s">
        <v>637</v>
      </c>
      <c r="Q8" s="764" t="s">
        <v>638</v>
      </c>
      <c r="R8" s="764" t="s">
        <v>639</v>
      </c>
      <c r="S8" s="899"/>
      <c r="T8" s="764" t="s">
        <v>636</v>
      </c>
      <c r="U8" s="764" t="s">
        <v>637</v>
      </c>
      <c r="V8" s="764" t="s">
        <v>638</v>
      </c>
      <c r="W8" s="764" t="s">
        <v>639</v>
      </c>
    </row>
    <row r="9" spans="1:23" ht="17.100000000000001" customHeight="1" x14ac:dyDescent="0.2">
      <c r="A9" s="887" t="s">
        <v>765</v>
      </c>
      <c r="B9" s="951" t="s">
        <v>459</v>
      </c>
      <c r="C9" s="929"/>
      <c r="D9" s="906"/>
      <c r="E9" s="887" t="s">
        <v>572</v>
      </c>
      <c r="F9" s="951" t="s">
        <v>496</v>
      </c>
      <c r="G9" s="929"/>
      <c r="H9" s="1552"/>
      <c r="I9" s="908"/>
      <c r="J9" s="908"/>
      <c r="K9" s="908"/>
      <c r="L9" s="908"/>
      <c r="O9" s="898">
        <v>28</v>
      </c>
      <c r="P9" s="898">
        <v>7</v>
      </c>
      <c r="Q9" s="898" t="str">
        <f>B9</f>
        <v>F76G</v>
      </c>
      <c r="R9" s="930">
        <f>IF(ISNUMBER(C9),ROUND(C9,0),0)</f>
        <v>0</v>
      </c>
      <c r="S9" s="898" t="str">
        <f t="shared" ref="S9:S18" si="0">VLOOKUP(O9,$Q:$R,2,FALSE)</f>
        <v>SQ9</v>
      </c>
      <c r="T9" s="898">
        <v>28</v>
      </c>
      <c r="U9" s="898">
        <v>61</v>
      </c>
      <c r="V9" s="898" t="str">
        <f t="shared" ref="V9:V13" si="1">F9</f>
        <v>U552</v>
      </c>
      <c r="W9" s="930">
        <f t="shared" ref="W9:W13" si="2">IF(ISNUMBER(G9),ROUND(G9,0),0)</f>
        <v>0</v>
      </c>
    </row>
    <row r="10" spans="1:23" ht="17.100000000000001" customHeight="1" x14ac:dyDescent="0.2">
      <c r="A10" s="887" t="s">
        <v>1106</v>
      </c>
      <c r="B10" s="951" t="s">
        <v>499</v>
      </c>
      <c r="C10" s="929"/>
      <c r="D10" s="906"/>
      <c r="E10" s="887" t="s">
        <v>573</v>
      </c>
      <c r="F10" s="951" t="s">
        <v>497</v>
      </c>
      <c r="G10" s="929"/>
      <c r="H10" s="1552"/>
      <c r="I10" s="908"/>
      <c r="J10" s="908"/>
      <c r="K10" s="908"/>
      <c r="L10" s="908"/>
      <c r="O10" s="898">
        <v>28</v>
      </c>
      <c r="P10" s="898">
        <v>7</v>
      </c>
      <c r="Q10" s="898" t="str">
        <f t="shared" ref="Q10:Q18" si="3">B10</f>
        <v>F99G</v>
      </c>
      <c r="R10" s="930">
        <f t="shared" ref="R10:R18" si="4">IF(ISNUMBER(C10),ROUND(C10,0),0)</f>
        <v>0</v>
      </c>
      <c r="S10" s="898" t="str">
        <f t="shared" si="0"/>
        <v>SQ9</v>
      </c>
      <c r="T10" s="898">
        <v>28</v>
      </c>
      <c r="U10" s="898">
        <v>61</v>
      </c>
      <c r="V10" s="898" t="str">
        <f t="shared" si="1"/>
        <v>U554</v>
      </c>
      <c r="W10" s="930">
        <f t="shared" si="2"/>
        <v>0</v>
      </c>
    </row>
    <row r="11" spans="1:23" ht="17.100000000000001" customHeight="1" thickBot="1" x14ac:dyDescent="0.25">
      <c r="A11" s="887" t="s">
        <v>766</v>
      </c>
      <c r="B11" s="951" t="s">
        <v>500</v>
      </c>
      <c r="C11" s="929"/>
      <c r="D11" s="906"/>
      <c r="E11" s="887" t="s">
        <v>574</v>
      </c>
      <c r="F11" s="951" t="s">
        <v>498</v>
      </c>
      <c r="G11" s="929"/>
      <c r="H11" s="1553"/>
      <c r="I11" s="908"/>
      <c r="J11" s="908"/>
      <c r="K11" s="908"/>
      <c r="L11" s="908"/>
      <c r="O11" s="898">
        <v>28</v>
      </c>
      <c r="P11" s="898">
        <v>7</v>
      </c>
      <c r="Q11" s="898" t="str">
        <f t="shared" si="3"/>
        <v>F01H</v>
      </c>
      <c r="R11" s="930">
        <f t="shared" si="4"/>
        <v>0</v>
      </c>
      <c r="S11" s="898" t="str">
        <f t="shared" si="0"/>
        <v>SQ9</v>
      </c>
      <c r="T11" s="898">
        <v>28</v>
      </c>
      <c r="U11" s="898">
        <v>61</v>
      </c>
      <c r="V11" s="898" t="str">
        <f t="shared" si="1"/>
        <v>U556</v>
      </c>
      <c r="W11" s="930">
        <f t="shared" si="2"/>
        <v>0</v>
      </c>
    </row>
    <row r="12" spans="1:23" ht="17.100000000000001" customHeight="1" thickBot="1" x14ac:dyDescent="0.25">
      <c r="A12" s="887" t="s">
        <v>767</v>
      </c>
      <c r="B12" s="951" t="s">
        <v>501</v>
      </c>
      <c r="C12" s="929"/>
      <c r="D12" s="906"/>
      <c r="E12" s="887" t="s">
        <v>600</v>
      </c>
      <c r="F12" s="951" t="s">
        <v>601</v>
      </c>
      <c r="G12" s="929"/>
      <c r="H12" s="935" t="s">
        <v>718</v>
      </c>
      <c r="I12" s="908"/>
      <c r="J12" s="908"/>
      <c r="K12" s="908"/>
      <c r="L12" s="908"/>
      <c r="O12" s="898">
        <v>28</v>
      </c>
      <c r="P12" s="898">
        <v>7</v>
      </c>
      <c r="Q12" s="898" t="str">
        <f t="shared" si="3"/>
        <v>F02H</v>
      </c>
      <c r="R12" s="930">
        <f t="shared" si="4"/>
        <v>0</v>
      </c>
      <c r="S12" s="898" t="str">
        <f t="shared" si="0"/>
        <v>SQ9</v>
      </c>
      <c r="T12" s="898">
        <v>28</v>
      </c>
      <c r="U12" s="898">
        <v>61</v>
      </c>
      <c r="V12" s="898" t="str">
        <f t="shared" si="1"/>
        <v>U10I</v>
      </c>
      <c r="W12" s="930">
        <f t="shared" si="2"/>
        <v>0</v>
      </c>
    </row>
    <row r="13" spans="1:23" ht="17.100000000000001" customHeight="1" x14ac:dyDescent="0.2">
      <c r="A13" s="887" t="s">
        <v>836</v>
      </c>
      <c r="B13" s="951" t="s">
        <v>837</v>
      </c>
      <c r="C13" s="929"/>
      <c r="D13" s="906"/>
      <c r="E13" s="887" t="s">
        <v>908</v>
      </c>
      <c r="F13" s="951" t="s">
        <v>750</v>
      </c>
      <c r="G13" s="929"/>
      <c r="H13" s="1549" t="str">
        <f>IF(LEN(H15&amp;H16&amp;H18&amp;H19)&gt;0,"Attenzione, le seguenti voci creano incongruenza perché magg. del 10% del totale:","OK")</f>
        <v>OK</v>
      </c>
      <c r="I13" s="908"/>
      <c r="J13" s="908"/>
      <c r="K13" s="908"/>
      <c r="L13" s="908"/>
      <c r="O13" s="898">
        <v>28</v>
      </c>
      <c r="P13" s="898">
        <v>7</v>
      </c>
      <c r="Q13" s="898" t="str">
        <f t="shared" si="3"/>
        <v>F12J</v>
      </c>
      <c r="R13" s="930">
        <f t="shared" si="4"/>
        <v>0</v>
      </c>
      <c r="S13" s="898" t="str">
        <f t="shared" si="0"/>
        <v>SQ9</v>
      </c>
      <c r="T13" s="898">
        <v>28</v>
      </c>
      <c r="U13" s="898">
        <v>61</v>
      </c>
      <c r="V13" s="898" t="str">
        <f t="shared" si="1"/>
        <v>U02S</v>
      </c>
      <c r="W13" s="930">
        <f t="shared" si="2"/>
        <v>0</v>
      </c>
    </row>
    <row r="14" spans="1:23" ht="17.100000000000001" customHeight="1" x14ac:dyDescent="0.2">
      <c r="A14" s="931" t="s">
        <v>1154</v>
      </c>
      <c r="B14" s="932" t="s">
        <v>1107</v>
      </c>
      <c r="C14" s="929"/>
      <c r="D14" s="906"/>
      <c r="E14" s="887" t="s">
        <v>602</v>
      </c>
      <c r="F14" s="951" t="s">
        <v>603</v>
      </c>
      <c r="G14" s="929"/>
      <c r="H14" s="1552"/>
      <c r="I14" s="908"/>
      <c r="J14" s="908"/>
      <c r="K14" s="908"/>
      <c r="L14" s="908"/>
      <c r="O14" s="898">
        <v>28</v>
      </c>
      <c r="P14" s="898">
        <v>7</v>
      </c>
      <c r="Q14" s="898" t="str">
        <f t="shared" si="3"/>
        <v>F27Q</v>
      </c>
      <c r="R14" s="930">
        <f t="shared" si="4"/>
        <v>0</v>
      </c>
      <c r="S14" s="898" t="str">
        <f t="shared" si="0"/>
        <v>SQ9</v>
      </c>
      <c r="T14" s="898">
        <v>28</v>
      </c>
      <c r="U14" s="898">
        <v>61</v>
      </c>
      <c r="V14" s="898" t="str">
        <f>F14</f>
        <v>U11I</v>
      </c>
      <c r="W14" s="930">
        <f>IF(ISNUMBER(G14),ROUND(G14,0),0)</f>
        <v>0</v>
      </c>
    </row>
    <row r="15" spans="1:23" ht="17.100000000000001" customHeight="1" x14ac:dyDescent="0.2">
      <c r="A15" s="887" t="s">
        <v>768</v>
      </c>
      <c r="B15" s="951" t="s">
        <v>502</v>
      </c>
      <c r="C15" s="929"/>
      <c r="D15" s="906"/>
      <c r="E15" s="933" t="s">
        <v>568</v>
      </c>
      <c r="F15" s="934" t="s">
        <v>472</v>
      </c>
      <c r="G15" s="929"/>
      <c r="H15" s="1043" t="str">
        <f>IF(C43&lt;&gt;0,IF(R18/ABS(C$43)&gt;0.1,"Fondo professionisti - Altre risorse fisse - F00O",""),"")</f>
        <v/>
      </c>
      <c r="I15" s="908"/>
      <c r="J15" s="908"/>
      <c r="K15" s="908"/>
      <c r="L15" s="908"/>
      <c r="O15" s="898">
        <v>28</v>
      </c>
      <c r="P15" s="898">
        <v>7</v>
      </c>
      <c r="Q15" s="898" t="str">
        <f t="shared" si="3"/>
        <v>F03H</v>
      </c>
      <c r="R15" s="930">
        <f t="shared" si="4"/>
        <v>0</v>
      </c>
      <c r="S15" s="898" t="str">
        <f t="shared" si="0"/>
        <v>SQ9</v>
      </c>
      <c r="T15" s="937">
        <v>28</v>
      </c>
      <c r="U15" s="937">
        <v>61</v>
      </c>
      <c r="V15" s="937" t="str">
        <f>F15</f>
        <v>U998</v>
      </c>
      <c r="W15" s="938">
        <f>IF(ISNUMBER(G15),ROUND(G15,0),0)</f>
        <v>0</v>
      </c>
    </row>
    <row r="16" spans="1:23" ht="17.100000000000001" customHeight="1" thickBot="1" x14ac:dyDescent="0.25">
      <c r="A16" s="887" t="s">
        <v>769</v>
      </c>
      <c r="B16" s="951" t="s">
        <v>503</v>
      </c>
      <c r="C16" s="929"/>
      <c r="D16" s="906"/>
      <c r="E16" s="939" t="s">
        <v>843</v>
      </c>
      <c r="F16" s="988"/>
      <c r="G16" s="989">
        <f>SUM(G9:G15)</f>
        <v>0</v>
      </c>
      <c r="H16" s="1043" t="str">
        <f>IF(C43&lt;&gt;0,IF(R34/ABS(C$43)&gt;0.1,"Fondo professionisti - Altre risorse variabili - F00O",""),"")</f>
        <v/>
      </c>
      <c r="I16" s="908"/>
      <c r="J16" s="908"/>
      <c r="K16" s="908"/>
      <c r="L16" s="908"/>
      <c r="O16" s="898">
        <v>28</v>
      </c>
      <c r="P16" s="898">
        <v>7</v>
      </c>
      <c r="Q16" s="898" t="str">
        <f t="shared" si="3"/>
        <v>F04C</v>
      </c>
      <c r="R16" s="930">
        <f t="shared" si="4"/>
        <v>0</v>
      </c>
      <c r="S16" s="898" t="str">
        <f t="shared" si="0"/>
        <v>SQ9</v>
      </c>
      <c r="T16" s="898" t="s">
        <v>531</v>
      </c>
      <c r="U16" s="898"/>
      <c r="V16" s="898"/>
      <c r="W16" s="898"/>
    </row>
    <row r="17" spans="1:23" ht="17.100000000000001" customHeight="1" thickBot="1" x14ac:dyDescent="0.25">
      <c r="A17" s="887" t="s">
        <v>977</v>
      </c>
      <c r="B17" s="951" t="s">
        <v>844</v>
      </c>
      <c r="C17" s="929"/>
      <c r="D17" s="906"/>
      <c r="E17" s="1040" t="s">
        <v>575</v>
      </c>
      <c r="F17" s="1041"/>
      <c r="G17" s="1042">
        <f>G16</f>
        <v>0</v>
      </c>
      <c r="H17" s="1043"/>
      <c r="I17" s="908"/>
      <c r="J17" s="908"/>
      <c r="K17" s="908"/>
      <c r="L17" s="908"/>
      <c r="O17" s="898">
        <v>28</v>
      </c>
      <c r="P17" s="898">
        <v>7</v>
      </c>
      <c r="Q17" s="898" t="str">
        <f>B17</f>
        <v>F16L</v>
      </c>
      <c r="R17" s="930">
        <f>IF(ISNUMBER(C17),ROUND(C17,0),0)</f>
        <v>0</v>
      </c>
      <c r="S17" s="898" t="str">
        <f t="shared" si="0"/>
        <v>SQ9</v>
      </c>
      <c r="T17" s="898"/>
      <c r="U17" s="898"/>
      <c r="V17" s="898"/>
      <c r="W17" s="898"/>
    </row>
    <row r="18" spans="1:23" ht="17.100000000000001" customHeight="1" x14ac:dyDescent="0.2">
      <c r="A18" s="887" t="s">
        <v>895</v>
      </c>
      <c r="B18" s="951" t="s">
        <v>896</v>
      </c>
      <c r="C18" s="929"/>
      <c r="D18" s="906"/>
      <c r="E18" s="993"/>
      <c r="F18" s="997"/>
      <c r="G18" s="996"/>
      <c r="H18" s="1043" t="str">
        <f>IF(C43&lt;&gt;0,IF(R41/ABS(C$43)&gt;0.1,"Fondo professionisti - Altre decurtazioni - F01P",""),"")</f>
        <v/>
      </c>
      <c r="I18" s="908"/>
      <c r="J18" s="908"/>
      <c r="K18" s="908"/>
      <c r="L18" s="908"/>
      <c r="O18" s="937">
        <v>28</v>
      </c>
      <c r="P18" s="937">
        <v>7</v>
      </c>
      <c r="Q18" s="937" t="str">
        <f t="shared" si="3"/>
        <v>F00O</v>
      </c>
      <c r="R18" s="938">
        <f t="shared" si="4"/>
        <v>0</v>
      </c>
      <c r="S18" s="898" t="str">
        <f t="shared" si="0"/>
        <v>SQ9</v>
      </c>
      <c r="T18" s="898"/>
      <c r="U18" s="898"/>
      <c r="V18" s="898"/>
      <c r="W18" s="898"/>
    </row>
    <row r="19" spans="1:23" ht="17.100000000000001" customHeight="1" thickBot="1" x14ac:dyDescent="0.25">
      <c r="A19" s="999" t="s">
        <v>345</v>
      </c>
      <c r="B19" s="988"/>
      <c r="C19" s="989">
        <f>SUM(C9:C18)</f>
        <v>0</v>
      </c>
      <c r="D19" s="906"/>
      <c r="E19" s="993"/>
      <c r="F19" s="997"/>
      <c r="G19" s="996"/>
      <c r="H19" s="1043" t="str">
        <f>IF(G44&lt;&gt;0,IF(W15/ABS(G44)&gt;0.1,"Fondo professionisti - Altre destinazioni - U998",""),"")</f>
        <v/>
      </c>
      <c r="I19" s="908"/>
      <c r="J19" s="908"/>
      <c r="K19" s="908"/>
      <c r="L19" s="908"/>
      <c r="S19" s="1020"/>
      <c r="T19" s="898"/>
      <c r="U19" s="898"/>
      <c r="V19" s="898"/>
      <c r="W19" s="930"/>
    </row>
    <row r="20" spans="1:23" ht="17.100000000000001" customHeight="1" x14ac:dyDescent="0.2">
      <c r="A20" s="1000" t="s">
        <v>346</v>
      </c>
      <c r="B20" s="1001"/>
      <c r="C20" s="1002"/>
      <c r="D20" s="906"/>
      <c r="E20" s="998"/>
      <c r="F20" s="997"/>
      <c r="G20" s="996"/>
      <c r="H20" s="1357"/>
      <c r="I20" s="908"/>
      <c r="J20" s="908"/>
      <c r="K20" s="908"/>
      <c r="L20" s="908"/>
      <c r="T20" s="898"/>
      <c r="U20" s="898"/>
      <c r="V20" s="898"/>
      <c r="W20" s="930"/>
    </row>
    <row r="21" spans="1:23" ht="17.100000000000001" customHeight="1" thickBot="1" x14ac:dyDescent="0.25">
      <c r="A21" s="887" t="s">
        <v>732</v>
      </c>
      <c r="B21" s="912" t="s">
        <v>465</v>
      </c>
      <c r="C21" s="929"/>
      <c r="D21" s="906"/>
      <c r="E21" s="993"/>
      <c r="F21" s="997"/>
      <c r="G21" s="996"/>
      <c r="H21" s="1044"/>
      <c r="I21" s="908"/>
      <c r="J21" s="908"/>
      <c r="K21" s="908"/>
      <c r="L21" s="908"/>
      <c r="O21" s="898">
        <v>28</v>
      </c>
      <c r="P21" s="898">
        <v>9</v>
      </c>
      <c r="Q21" s="898" t="str">
        <f t="shared" ref="Q21:Q34" si="5">B21</f>
        <v>F50H</v>
      </c>
      <c r="R21" s="930">
        <f t="shared" ref="R21:R34" si="6">IF(ISNUMBER(C21),ROUND(C21,0),0)</f>
        <v>0</v>
      </c>
      <c r="S21" s="898" t="str">
        <f t="shared" ref="S21:S34" si="7">VLOOKUP(O21,$Q:$R,2,FALSE)</f>
        <v>SQ9</v>
      </c>
      <c r="T21" s="950"/>
      <c r="U21" s="950"/>
      <c r="V21" s="898"/>
      <c r="W21" s="930"/>
    </row>
    <row r="22" spans="1:23" ht="17.100000000000001" customHeight="1" thickBot="1" x14ac:dyDescent="0.25">
      <c r="A22" s="962" t="s">
        <v>733</v>
      </c>
      <c r="B22" s="912" t="s">
        <v>466</v>
      </c>
      <c r="C22" s="929"/>
      <c r="D22" s="906"/>
      <c r="E22" s="993"/>
      <c r="F22" s="997"/>
      <c r="G22" s="996"/>
      <c r="H22" s="935" t="s">
        <v>992</v>
      </c>
      <c r="I22" s="909"/>
      <c r="J22" s="909"/>
      <c r="K22" s="909"/>
      <c r="O22" s="898">
        <v>28</v>
      </c>
      <c r="P22" s="898">
        <v>9</v>
      </c>
      <c r="Q22" s="898" t="str">
        <f t="shared" si="5"/>
        <v>F51H</v>
      </c>
      <c r="R22" s="930">
        <f t="shared" si="6"/>
        <v>0</v>
      </c>
      <c r="S22" s="898" t="str">
        <f t="shared" si="7"/>
        <v>SQ9</v>
      </c>
      <c r="U22" s="898"/>
      <c r="V22" s="898"/>
      <c r="W22" s="898"/>
    </row>
    <row r="23" spans="1:23" ht="17.100000000000001" customHeight="1" x14ac:dyDescent="0.2">
      <c r="A23" s="887" t="s">
        <v>975</v>
      </c>
      <c r="B23" s="951" t="s">
        <v>823</v>
      </c>
      <c r="C23" s="929"/>
      <c r="D23" s="906"/>
      <c r="E23" s="993"/>
      <c r="F23" s="997"/>
      <c r="G23" s="996"/>
      <c r="H23" s="1549" t="str">
        <f>IF(AND(SUMIF($O:$O,$Q1,$R:$R)&lt;&gt;0,SUM('SICI(4)'!$F$13,'SICI(4)'!$F$17)&gt;0),IF(SUMIFS($R:$R,$P:$P,"&lt;&gt;81",$O:$O,$Q1)-SUMIFS($R:$R,$P:$P,"81",$O:$O,$Q1)-SUMIF($T:$T,$Q1,$W:$W)&lt;0,"Attenzione, nelle seguenti sezioni le destinazioni risultano superiori alle relative risorse e generano pertanto squadratura 8: "&amp;CHAR(10)&amp;A7,"OK"),"OK")</f>
        <v>OK</v>
      </c>
      <c r="O23" s="898">
        <v>28</v>
      </c>
      <c r="P23" s="898">
        <v>9</v>
      </c>
      <c r="Q23" s="898" t="str">
        <f t="shared" si="5"/>
        <v>F10M</v>
      </c>
      <c r="R23" s="930">
        <f t="shared" si="6"/>
        <v>0</v>
      </c>
      <c r="S23" s="898" t="str">
        <f t="shared" si="7"/>
        <v>SQ9</v>
      </c>
      <c r="T23" s="898"/>
      <c r="U23" s="898"/>
      <c r="V23" s="898"/>
      <c r="W23" s="898"/>
    </row>
    <row r="24" spans="1:23" ht="17.100000000000001" customHeight="1" x14ac:dyDescent="0.2">
      <c r="A24" s="887" t="s">
        <v>976</v>
      </c>
      <c r="B24" s="951" t="s">
        <v>824</v>
      </c>
      <c r="C24" s="929"/>
      <c r="D24" s="906"/>
      <c r="E24" s="993"/>
      <c r="F24" s="997"/>
      <c r="G24" s="996"/>
      <c r="H24" s="1556"/>
      <c r="O24" s="898">
        <v>28</v>
      </c>
      <c r="P24" s="898">
        <v>9</v>
      </c>
      <c r="Q24" s="898" t="str">
        <f t="shared" si="5"/>
        <v>F10N</v>
      </c>
      <c r="R24" s="930">
        <f t="shared" si="6"/>
        <v>0</v>
      </c>
      <c r="S24" s="898" t="str">
        <f t="shared" si="7"/>
        <v>SQ9</v>
      </c>
      <c r="T24" s="898"/>
      <c r="U24" s="898"/>
      <c r="V24" s="898"/>
      <c r="W24" s="898"/>
    </row>
    <row r="25" spans="1:23" ht="17.100000000000001" customHeight="1" x14ac:dyDescent="0.2">
      <c r="A25" s="887" t="s">
        <v>734</v>
      </c>
      <c r="B25" s="912" t="s">
        <v>567</v>
      </c>
      <c r="C25" s="929"/>
      <c r="D25" s="906"/>
      <c r="E25" s="993"/>
      <c r="F25" s="997"/>
      <c r="G25" s="996"/>
      <c r="H25" s="1556"/>
      <c r="O25" s="898">
        <v>28</v>
      </c>
      <c r="P25" s="898">
        <v>9</v>
      </c>
      <c r="Q25" s="898" t="str">
        <f t="shared" si="5"/>
        <v>F96H</v>
      </c>
      <c r="R25" s="930">
        <f t="shared" si="6"/>
        <v>0</v>
      </c>
      <c r="S25" s="898" t="str">
        <f t="shared" si="7"/>
        <v>SQ9</v>
      </c>
      <c r="T25" s="898"/>
      <c r="U25" s="898"/>
      <c r="V25" s="898"/>
      <c r="W25" s="898"/>
    </row>
    <row r="26" spans="1:23" ht="17.100000000000001" customHeight="1" thickBot="1" x14ac:dyDescent="0.25">
      <c r="A26" s="887" t="s">
        <v>1155</v>
      </c>
      <c r="B26" s="951" t="s">
        <v>838</v>
      </c>
      <c r="C26" s="929"/>
      <c r="D26" s="906"/>
      <c r="E26" s="993"/>
      <c r="F26" s="997"/>
      <c r="G26" s="996"/>
      <c r="H26" s="1557"/>
      <c r="O26" s="898">
        <v>28</v>
      </c>
      <c r="P26" s="898">
        <v>9</v>
      </c>
      <c r="Q26" s="898" t="str">
        <f t="shared" si="5"/>
        <v>F12K</v>
      </c>
      <c r="R26" s="930">
        <f t="shared" si="6"/>
        <v>0</v>
      </c>
      <c r="S26" s="898" t="str">
        <f t="shared" si="7"/>
        <v>SQ9</v>
      </c>
      <c r="T26" s="898"/>
      <c r="U26" s="898"/>
      <c r="V26" s="898"/>
      <c r="W26" s="898"/>
    </row>
    <row r="27" spans="1:23" ht="17.100000000000001" customHeight="1" x14ac:dyDescent="0.2">
      <c r="A27" s="887" t="s">
        <v>770</v>
      </c>
      <c r="B27" s="912" t="s">
        <v>504</v>
      </c>
      <c r="C27" s="929"/>
      <c r="D27" s="906"/>
      <c r="E27" s="993"/>
      <c r="F27" s="997"/>
      <c r="G27" s="996"/>
      <c r="H27" s="1358"/>
      <c r="O27" s="898">
        <v>28</v>
      </c>
      <c r="P27" s="898">
        <v>9</v>
      </c>
      <c r="Q27" s="898" t="str">
        <f t="shared" si="5"/>
        <v>F04H</v>
      </c>
      <c r="R27" s="930">
        <f t="shared" si="6"/>
        <v>0</v>
      </c>
      <c r="S27" s="898" t="str">
        <f t="shared" si="7"/>
        <v>SQ9</v>
      </c>
      <c r="T27" s="898"/>
      <c r="U27" s="898"/>
      <c r="V27" s="898"/>
      <c r="W27" s="898"/>
    </row>
    <row r="28" spans="1:23" ht="17.100000000000001" customHeight="1" x14ac:dyDescent="0.2">
      <c r="A28" s="887" t="s">
        <v>772</v>
      </c>
      <c r="B28" s="912" t="s">
        <v>505</v>
      </c>
      <c r="C28" s="929"/>
      <c r="D28" s="906"/>
      <c r="E28" s="993"/>
      <c r="F28" s="997"/>
      <c r="G28" s="996"/>
      <c r="O28" s="898">
        <v>28</v>
      </c>
      <c r="P28" s="898">
        <v>9</v>
      </c>
      <c r="Q28" s="898" t="str">
        <f t="shared" si="5"/>
        <v>F05C</v>
      </c>
      <c r="R28" s="930">
        <f t="shared" si="6"/>
        <v>0</v>
      </c>
      <c r="S28" s="898" t="str">
        <f t="shared" si="7"/>
        <v>SQ9</v>
      </c>
      <c r="T28" s="898"/>
      <c r="U28" s="898"/>
      <c r="V28" s="898"/>
      <c r="W28" s="898"/>
    </row>
    <row r="29" spans="1:23" ht="17.100000000000001" customHeight="1" x14ac:dyDescent="0.2">
      <c r="A29" s="887" t="s">
        <v>771</v>
      </c>
      <c r="B29" s="912" t="s">
        <v>506</v>
      </c>
      <c r="C29" s="929"/>
      <c r="D29" s="906"/>
      <c r="E29" s="993"/>
      <c r="F29" s="997"/>
      <c r="G29" s="996"/>
      <c r="O29" s="898">
        <v>28</v>
      </c>
      <c r="P29" s="898">
        <v>9</v>
      </c>
      <c r="Q29" s="898" t="str">
        <f t="shared" si="5"/>
        <v>F06C</v>
      </c>
      <c r="R29" s="930">
        <f t="shared" si="6"/>
        <v>0</v>
      </c>
      <c r="S29" s="898" t="str">
        <f t="shared" si="7"/>
        <v>SQ9</v>
      </c>
      <c r="T29" s="898"/>
      <c r="U29" s="898"/>
      <c r="V29" s="898"/>
      <c r="W29" s="898"/>
    </row>
    <row r="30" spans="1:23" ht="17.100000000000001" customHeight="1" x14ac:dyDescent="0.2">
      <c r="A30" s="887" t="s">
        <v>897</v>
      </c>
      <c r="B30" s="912" t="s">
        <v>898</v>
      </c>
      <c r="C30" s="929"/>
      <c r="D30" s="906"/>
      <c r="E30" s="993"/>
      <c r="F30" s="997"/>
      <c r="G30" s="996"/>
      <c r="O30" s="898">
        <v>28</v>
      </c>
      <c r="P30" s="898">
        <v>9</v>
      </c>
      <c r="Q30" s="898" t="str">
        <f t="shared" si="5"/>
        <v>F19S</v>
      </c>
      <c r="R30" s="930">
        <f t="shared" si="6"/>
        <v>0</v>
      </c>
      <c r="S30" s="898" t="str">
        <f t="shared" si="7"/>
        <v>SQ9</v>
      </c>
      <c r="T30" s="898"/>
      <c r="U30" s="898"/>
      <c r="V30" s="898"/>
      <c r="W30" s="898"/>
    </row>
    <row r="31" spans="1:23" ht="17.100000000000001" customHeight="1" x14ac:dyDescent="0.2">
      <c r="A31" s="887" t="s">
        <v>773</v>
      </c>
      <c r="B31" s="912" t="s">
        <v>507</v>
      </c>
      <c r="C31" s="929"/>
      <c r="D31" s="906"/>
      <c r="E31" s="993"/>
      <c r="F31" s="997"/>
      <c r="G31" s="996"/>
      <c r="O31" s="898">
        <v>28</v>
      </c>
      <c r="P31" s="898">
        <v>9</v>
      </c>
      <c r="Q31" s="898" t="str">
        <f t="shared" si="5"/>
        <v>F11C</v>
      </c>
      <c r="R31" s="930">
        <f t="shared" si="6"/>
        <v>0</v>
      </c>
      <c r="S31" s="898" t="str">
        <f t="shared" si="7"/>
        <v>SQ9</v>
      </c>
      <c r="T31" s="898"/>
      <c r="U31" s="898"/>
      <c r="V31" s="898"/>
      <c r="W31" s="898"/>
    </row>
    <row r="32" spans="1:23" ht="17.100000000000001" customHeight="1" x14ac:dyDescent="0.2">
      <c r="A32" s="887" t="s">
        <v>1098</v>
      </c>
      <c r="B32" s="1356" t="s">
        <v>1099</v>
      </c>
      <c r="C32" s="929"/>
      <c r="D32" s="906"/>
      <c r="E32" s="993"/>
      <c r="F32" s="997"/>
      <c r="G32" s="996"/>
      <c r="O32" s="898">
        <v>28</v>
      </c>
      <c r="P32" s="898">
        <v>9</v>
      </c>
      <c r="Q32" s="898" t="str">
        <f t="shared" si="5"/>
        <v>F24T</v>
      </c>
      <c r="R32" s="930">
        <f t="shared" si="6"/>
        <v>0</v>
      </c>
      <c r="S32" s="898" t="str">
        <f t="shared" si="7"/>
        <v>SQ9</v>
      </c>
      <c r="T32" s="898"/>
      <c r="U32" s="898"/>
      <c r="V32" s="898"/>
      <c r="W32" s="898"/>
    </row>
    <row r="33" spans="1:23" ht="17.100000000000001" customHeight="1" x14ac:dyDescent="0.2">
      <c r="A33" s="931" t="s">
        <v>1100</v>
      </c>
      <c r="B33" s="932" t="s">
        <v>470</v>
      </c>
      <c r="C33" s="929"/>
      <c r="D33" s="906"/>
      <c r="E33" s="993"/>
      <c r="F33" s="997"/>
      <c r="G33" s="996"/>
      <c r="O33" s="898">
        <v>28</v>
      </c>
      <c r="P33" s="898">
        <v>9</v>
      </c>
      <c r="Q33" s="898" t="str">
        <f t="shared" si="5"/>
        <v>F999</v>
      </c>
      <c r="R33" s="930">
        <f t="shared" si="6"/>
        <v>0</v>
      </c>
      <c r="S33" s="898" t="str">
        <f t="shared" si="7"/>
        <v>SQ9</v>
      </c>
      <c r="T33" s="898"/>
      <c r="U33" s="898"/>
      <c r="V33" s="898"/>
      <c r="W33" s="898"/>
    </row>
    <row r="34" spans="1:23" ht="17.100000000000001" customHeight="1" x14ac:dyDescent="0.2">
      <c r="A34" s="887" t="s">
        <v>895</v>
      </c>
      <c r="B34" s="951" t="s">
        <v>896</v>
      </c>
      <c r="C34" s="929"/>
      <c r="D34" s="906"/>
      <c r="E34" s="993"/>
      <c r="F34" s="997"/>
      <c r="G34" s="996"/>
      <c r="O34" s="937">
        <v>28</v>
      </c>
      <c r="P34" s="937">
        <v>9</v>
      </c>
      <c r="Q34" s="937" t="str">
        <f t="shared" si="5"/>
        <v>F00O</v>
      </c>
      <c r="R34" s="938">
        <f t="shared" si="6"/>
        <v>0</v>
      </c>
      <c r="S34" s="898" t="str">
        <f t="shared" si="7"/>
        <v>SQ9</v>
      </c>
      <c r="T34" s="898"/>
      <c r="U34" s="898"/>
      <c r="V34" s="898"/>
      <c r="W34" s="898"/>
    </row>
    <row r="35" spans="1:23" ht="17.100000000000001" customHeight="1" thickBot="1" x14ac:dyDescent="0.25">
      <c r="A35" s="999" t="s">
        <v>347</v>
      </c>
      <c r="B35" s="988"/>
      <c r="C35" s="989">
        <f>SUM(C21:C34)</f>
        <v>0</v>
      </c>
      <c r="D35" s="906"/>
      <c r="E35" s="993"/>
      <c r="F35" s="997"/>
      <c r="G35" s="996"/>
      <c r="O35" s="898"/>
      <c r="P35" s="898"/>
      <c r="Q35" s="898"/>
      <c r="R35" s="930"/>
      <c r="S35" s="898"/>
      <c r="T35" s="898"/>
      <c r="U35" s="898"/>
      <c r="V35" s="898"/>
      <c r="W35" s="898"/>
    </row>
    <row r="36" spans="1:23" ht="17.100000000000001" customHeight="1" x14ac:dyDescent="0.2">
      <c r="A36" s="1004" t="s">
        <v>713</v>
      </c>
      <c r="B36" s="1001"/>
      <c r="C36" s="1005"/>
      <c r="D36" s="906"/>
      <c r="E36" s="993"/>
      <c r="F36" s="997"/>
      <c r="G36" s="996"/>
      <c r="T36" s="898"/>
      <c r="U36" s="898"/>
      <c r="V36" s="898"/>
      <c r="W36" s="898"/>
    </row>
    <row r="37" spans="1:23" ht="17.100000000000001" customHeight="1" x14ac:dyDescent="0.2">
      <c r="A37" s="887" t="s">
        <v>738</v>
      </c>
      <c r="B37" s="912" t="s">
        <v>714</v>
      </c>
      <c r="C37" s="929"/>
      <c r="D37" s="906"/>
      <c r="E37" s="993"/>
      <c r="F37" s="997"/>
      <c r="G37" s="996"/>
      <c r="O37" s="898">
        <v>28</v>
      </c>
      <c r="P37" s="898">
        <v>81</v>
      </c>
      <c r="Q37" s="898" t="str">
        <f>B37</f>
        <v>F02P</v>
      </c>
      <c r="R37" s="930">
        <f>IF(ISNUMBER(C37),ROUND(C37,0),0)</f>
        <v>0</v>
      </c>
      <c r="S37" s="898" t="str">
        <f>VLOOKUP(O37,$Q:$R,2,FALSE)</f>
        <v>SQ9</v>
      </c>
      <c r="T37" s="898"/>
      <c r="U37" s="898"/>
      <c r="V37" s="898"/>
      <c r="W37" s="898"/>
    </row>
    <row r="38" spans="1:23" ht="17.100000000000001" customHeight="1" x14ac:dyDescent="0.2">
      <c r="A38" s="887" t="s">
        <v>739</v>
      </c>
      <c r="B38" s="912" t="s">
        <v>599</v>
      </c>
      <c r="C38" s="929"/>
      <c r="D38" s="906"/>
      <c r="E38" s="994"/>
      <c r="F38" s="1045"/>
      <c r="G38" s="996"/>
      <c r="O38" s="898">
        <v>28</v>
      </c>
      <c r="P38" s="898">
        <v>81</v>
      </c>
      <c r="Q38" s="898" t="str">
        <f>B38</f>
        <v>F27I</v>
      </c>
      <c r="R38" s="930">
        <f>IF(ISNUMBER(C38),ROUND(C38,0),0)</f>
        <v>0</v>
      </c>
      <c r="S38" s="898" t="str">
        <f>VLOOKUP(O38,$Q:$R,2,FALSE)</f>
        <v>SQ9</v>
      </c>
      <c r="T38" s="898"/>
      <c r="U38" s="898"/>
      <c r="V38" s="898"/>
      <c r="W38" s="898"/>
    </row>
    <row r="39" spans="1:23" ht="17.100000000000001" customHeight="1" x14ac:dyDescent="0.2">
      <c r="A39" s="887" t="s">
        <v>784</v>
      </c>
      <c r="B39" s="912" t="s">
        <v>715</v>
      </c>
      <c r="C39" s="929"/>
      <c r="D39" s="906"/>
      <c r="E39" s="994"/>
      <c r="F39" s="1045"/>
      <c r="G39" s="996"/>
      <c r="O39" s="898">
        <v>28</v>
      </c>
      <c r="P39" s="898">
        <v>81</v>
      </c>
      <c r="Q39" s="898" t="str">
        <f>B39</f>
        <v>F00P</v>
      </c>
      <c r="R39" s="930">
        <f>IF(ISNUMBER(C39),ROUND(C39,0),0)</f>
        <v>0</v>
      </c>
      <c r="S39" s="898" t="str">
        <f>VLOOKUP(O39,$Q:$R,2,FALSE)</f>
        <v>SQ9</v>
      </c>
      <c r="T39" s="898"/>
      <c r="U39" s="898"/>
      <c r="V39" s="898"/>
      <c r="W39" s="898"/>
    </row>
    <row r="40" spans="1:23" ht="17.100000000000001" customHeight="1" x14ac:dyDescent="0.2">
      <c r="A40" s="887" t="s">
        <v>740</v>
      </c>
      <c r="B40" s="974" t="s">
        <v>741</v>
      </c>
      <c r="C40" s="929"/>
      <c r="D40" s="906"/>
      <c r="E40" s="994"/>
      <c r="F40" s="1045"/>
      <c r="G40" s="996"/>
      <c r="O40" s="898">
        <v>28</v>
      </c>
      <c r="P40" s="898">
        <v>81</v>
      </c>
      <c r="Q40" s="898" t="str">
        <f>B40</f>
        <v>F01S</v>
      </c>
      <c r="R40" s="930">
        <f>IF(ISNUMBER(C40),ROUND(C40,0),0)</f>
        <v>0</v>
      </c>
      <c r="S40" s="898" t="str">
        <f>VLOOKUP(O40,$Q:$R,2,FALSE)</f>
        <v>SQ9</v>
      </c>
      <c r="T40" s="898"/>
      <c r="U40" s="898"/>
      <c r="V40" s="898"/>
      <c r="W40" s="898"/>
    </row>
    <row r="41" spans="1:23" ht="17.100000000000001" customHeight="1" x14ac:dyDescent="0.2">
      <c r="A41" s="887" t="s">
        <v>899</v>
      </c>
      <c r="B41" s="951" t="s">
        <v>716</v>
      </c>
      <c r="C41" s="929"/>
      <c r="D41" s="906"/>
      <c r="E41" s="994"/>
      <c r="F41" s="1045"/>
      <c r="G41" s="996"/>
      <c r="O41" s="937">
        <v>28</v>
      </c>
      <c r="P41" s="937">
        <v>81</v>
      </c>
      <c r="Q41" s="937" t="str">
        <f>B41</f>
        <v>F01P</v>
      </c>
      <c r="R41" s="938">
        <f>IF(ISNUMBER(C41),ROUND(C41,0),0)</f>
        <v>0</v>
      </c>
      <c r="S41" s="898" t="str">
        <f>VLOOKUP(O41,$Q:$R,2,FALSE)</f>
        <v>SQ9</v>
      </c>
      <c r="T41" s="898"/>
      <c r="U41" s="898"/>
      <c r="V41" s="898"/>
      <c r="W41" s="898"/>
    </row>
    <row r="42" spans="1:23" ht="17.25" customHeight="1" x14ac:dyDescent="0.2">
      <c r="A42" s="1006" t="s">
        <v>717</v>
      </c>
      <c r="B42" s="1007"/>
      <c r="C42" s="1008">
        <f>SUM(C37:C41)</f>
        <v>0</v>
      </c>
      <c r="D42" s="906"/>
      <c r="E42" s="994"/>
      <c r="F42" s="1045"/>
      <c r="G42" s="996"/>
      <c r="O42" s="898" t="s">
        <v>531</v>
      </c>
      <c r="P42" s="898"/>
      <c r="Q42" s="898"/>
      <c r="R42" s="930"/>
      <c r="S42" s="898"/>
      <c r="T42" s="898"/>
      <c r="U42" s="898"/>
      <c r="V42" s="898"/>
      <c r="W42" s="898"/>
    </row>
    <row r="43" spans="1:23" ht="17.25" customHeight="1" thickBot="1" x14ac:dyDescent="0.25">
      <c r="A43" s="1046" t="s">
        <v>575</v>
      </c>
      <c r="B43" s="1047"/>
      <c r="C43" s="1048">
        <f>C19+C35-C42</f>
        <v>0</v>
      </c>
      <c r="D43" s="1049"/>
      <c r="E43" s="1011"/>
      <c r="F43" s="1050"/>
      <c r="G43" s="1013"/>
      <c r="O43" s="898"/>
      <c r="P43" s="898"/>
      <c r="Q43" s="898"/>
      <c r="R43" s="930"/>
      <c r="S43" s="898"/>
      <c r="T43" s="898"/>
      <c r="U43" s="898"/>
      <c r="V43" s="898"/>
      <c r="W43" s="898"/>
    </row>
    <row r="44" spans="1:23" ht="17.100000000000001" customHeight="1" thickBot="1" x14ac:dyDescent="0.25">
      <c r="A44" s="983" t="s">
        <v>900</v>
      </c>
      <c r="B44" s="1010"/>
      <c r="C44" s="992">
        <f>C43</f>
        <v>0</v>
      </c>
      <c r="E44" s="985" t="s">
        <v>901</v>
      </c>
      <c r="F44" s="1010"/>
      <c r="G44" s="992">
        <f>G17</f>
        <v>0</v>
      </c>
      <c r="P44" s="898"/>
      <c r="Q44" s="898"/>
      <c r="R44" s="898"/>
      <c r="S44" s="898"/>
      <c r="T44" s="898"/>
      <c r="U44" s="898"/>
      <c r="V44" s="898"/>
      <c r="W44" s="898"/>
    </row>
    <row r="45" spans="1:23" ht="4.9000000000000004" customHeight="1" x14ac:dyDescent="0.2">
      <c r="C45" s="1051"/>
      <c r="O45" s="898"/>
      <c r="P45" s="898"/>
      <c r="Q45" s="898"/>
      <c r="R45" s="930"/>
      <c r="T45" s="898"/>
      <c r="U45" s="898"/>
      <c r="V45" s="898"/>
      <c r="W45" s="898"/>
    </row>
    <row r="46" spans="1:23" x14ac:dyDescent="0.2">
      <c r="A46" s="821" t="s">
        <v>993</v>
      </c>
      <c r="T46" s="898"/>
      <c r="U46" s="898"/>
      <c r="V46" s="898"/>
      <c r="W46" s="898"/>
    </row>
    <row r="47" spans="1:23" ht="15.4" customHeight="1" x14ac:dyDescent="0.2">
      <c r="A47" s="821" t="s">
        <v>1101</v>
      </c>
      <c r="B47" s="942"/>
      <c r="C47" s="987"/>
      <c r="D47" s="767"/>
      <c r="E47" s="767"/>
      <c r="F47" s="767"/>
      <c r="G47" s="767"/>
      <c r="O47" s="767"/>
      <c r="P47" s="767"/>
      <c r="Q47" s="767"/>
      <c r="R47" s="767"/>
      <c r="S47" s="767"/>
    </row>
    <row r="48" spans="1:23" s="767" customFormat="1" ht="15.4" customHeight="1" x14ac:dyDescent="0.2">
      <c r="A48" s="821" t="s">
        <v>1007</v>
      </c>
      <c r="B48" s="898"/>
      <c r="C48" s="821"/>
      <c r="D48" s="821"/>
      <c r="E48" s="821"/>
      <c r="F48" s="821"/>
      <c r="G48" s="821"/>
      <c r="O48" s="821"/>
      <c r="P48" s="821"/>
      <c r="Q48" s="821"/>
      <c r="R48" s="821"/>
      <c r="S48" s="821"/>
      <c r="T48" s="821"/>
      <c r="U48" s="821"/>
      <c r="V48" s="821"/>
      <c r="W48" s="821"/>
    </row>
    <row r="49" spans="20:23" ht="15" x14ac:dyDescent="0.2">
      <c r="T49" s="767"/>
      <c r="U49" s="767"/>
      <c r="V49" s="767"/>
      <c r="W49" s="767"/>
    </row>
  </sheetData>
  <sheetProtection algorithmName="SHA-512" hashValue="WYjV5Vci/IFkl8/YqushIzPo8l9YN4ZjMoo+sPNi7LKGBrGhzU7Q9A+lnIABweJZuGRckXcPYIvgz13qoDP/YQ==" saltValue="6PRpJH/7QUg2hlODKOGuHQ==" spinCount="100000" sheet="1" formatColumns="0" selectLockedCells="1"/>
  <mergeCells count="3">
    <mergeCell ref="H6:H11"/>
    <mergeCell ref="H13:H14"/>
    <mergeCell ref="H23:H26"/>
  </mergeCells>
  <dataValidations count="2">
    <dataValidation type="whole" allowBlank="1" showInputMessage="1" showErrorMessage="1" errorTitle="ERRORE NEL DATO IMMESSO" error="INSERIRE SOLO NUMERI INTERI" sqref="C21:C34 G15 C9:C18 C37:C41 G9:G13" xr:uid="{DD82A1B4-AD04-43A4-8759-7CDE7DF16CD5}">
      <formula1>0</formula1>
      <formula2>999999999999</formula2>
    </dataValidation>
    <dataValidation type="whole" allowBlank="1" showInputMessage="1" showErrorMessage="1" errorTitle="ERRORE NEL DATO IMMESSO" error="INSERIRE SOLO NUMERI INTERI" sqref="C19 G16:G18 C35:C36 C42:C43 G38:G43" xr:uid="{F42E6DB0-A88F-4CD9-BF63-41207D79A93F}">
      <formula1>-999999999999</formula1>
      <formula2>999999999999</formula2>
    </dataValidation>
  </dataValidations>
  <printOptions horizontalCentered="1"/>
  <pageMargins left="0.39370078740157483" right="0.39370078740157483" top="0.78740157480314965" bottom="0.39370078740157483" header="0.51181102362204722" footer="0.15748031496062992"/>
  <pageSetup paperSize="9" scale="61" orientation="portrait" horizontalDpi="300" verticalDpi="4294967292"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W62"/>
  <sheetViews>
    <sheetView showGridLines="0" zoomScale="80" zoomScaleNormal="80" workbookViewId="0">
      <selection activeCell="C9" sqref="C9"/>
    </sheetView>
  </sheetViews>
  <sheetFormatPr defaultColWidth="12.6640625" defaultRowHeight="11.25" x14ac:dyDescent="0.2"/>
  <cols>
    <col min="1" max="1" width="65.6640625" style="821" customWidth="1"/>
    <col min="2" max="2" width="10.6640625" style="898" customWidth="1"/>
    <col min="3" max="3" width="20.6640625" style="821" customWidth="1"/>
    <col min="4" max="4" width="3.33203125" style="821" customWidth="1"/>
    <col min="5" max="5" width="65.6640625" style="821" customWidth="1"/>
    <col min="6" max="6" width="10.6640625" style="821" customWidth="1"/>
    <col min="7" max="7" width="20.6640625" style="821" customWidth="1"/>
    <col min="8" max="8" width="73.33203125" style="821" customWidth="1"/>
    <col min="9" max="12" width="12.6640625" style="821" customWidth="1"/>
    <col min="13" max="13" width="12.6640625" style="821"/>
    <col min="14" max="14" width="0" style="821" hidden="1" customWidth="1"/>
    <col min="15" max="18" width="12.6640625" style="821" hidden="1" customWidth="1"/>
    <col min="19" max="19" width="5.1640625" style="821" hidden="1" customWidth="1"/>
    <col min="20" max="23" width="12.6640625" style="821" hidden="1" customWidth="1"/>
    <col min="24" max="16384" width="12.6640625" style="821"/>
  </cols>
  <sheetData>
    <row r="1" spans="1:23" ht="43.5" customHeight="1" x14ac:dyDescent="0.2">
      <c r="A1" s="894" t="str">
        <f>'t1'!$A$1</f>
        <v>ENTI PUBBLICI NON ECONOMICI - anno 2024</v>
      </c>
      <c r="B1" s="895"/>
      <c r="C1" s="895"/>
      <c r="D1" s="895"/>
      <c r="E1" s="895"/>
      <c r="F1" s="895"/>
      <c r="G1" s="895"/>
      <c r="H1" s="896" t="s">
        <v>267</v>
      </c>
      <c r="Q1" s="897">
        <v>52</v>
      </c>
      <c r="R1" s="897" t="s">
        <v>630</v>
      </c>
    </row>
    <row r="2" spans="1:23" ht="15.4" customHeight="1" x14ac:dyDescent="0.2">
      <c r="N2"/>
      <c r="O2" s="822"/>
      <c r="P2" s="822"/>
      <c r="Q2" s="897">
        <v>78</v>
      </c>
      <c r="R2" s="897" t="s">
        <v>888</v>
      </c>
      <c r="S2" s="899"/>
      <c r="T2" s="822"/>
      <c r="U2" s="822"/>
      <c r="V2" s="822"/>
      <c r="W2" s="899"/>
    </row>
    <row r="3" spans="1:23" ht="44.65" customHeight="1" x14ac:dyDescent="0.2">
      <c r="A3" s="900"/>
      <c r="B3" s="901"/>
      <c r="C3" s="901"/>
      <c r="D3" s="901"/>
      <c r="E3" s="901"/>
      <c r="F3" s="901"/>
      <c r="G3" s="901"/>
      <c r="N3"/>
      <c r="O3" s="902"/>
      <c r="P3" s="902"/>
      <c r="Q3" s="822"/>
      <c r="R3" s="899"/>
      <c r="S3" s="899"/>
      <c r="T3" s="902"/>
      <c r="U3" s="902"/>
      <c r="V3" s="822"/>
      <c r="W3" s="899"/>
    </row>
    <row r="4" spans="1:23" ht="15.4" customHeight="1" thickBot="1" x14ac:dyDescent="0.25">
      <c r="N4"/>
      <c r="O4" s="822"/>
      <c r="P4" s="822"/>
      <c r="Q4" s="822"/>
      <c r="R4" s="899"/>
      <c r="S4" s="899"/>
      <c r="T4" s="822"/>
      <c r="U4" s="822"/>
      <c r="V4" s="822"/>
      <c r="W4" s="899"/>
    </row>
    <row r="5" spans="1:23" ht="25.5" customHeight="1" thickBot="1" x14ac:dyDescent="0.25">
      <c r="A5" s="903" t="s">
        <v>990</v>
      </c>
      <c r="B5" s="904"/>
      <c r="C5" s="1052"/>
      <c r="D5" s="906"/>
      <c r="E5" s="903" t="s">
        <v>991</v>
      </c>
      <c r="F5" s="904"/>
      <c r="G5" s="1052"/>
      <c r="H5" s="907" t="s">
        <v>631</v>
      </c>
      <c r="I5" s="1053"/>
      <c r="J5" s="1053"/>
      <c r="K5" s="1053"/>
      <c r="L5" s="1053"/>
    </row>
    <row r="6" spans="1:23" ht="18" customHeight="1" thickBot="1" x14ac:dyDescent="0.25">
      <c r="A6" s="910" t="s">
        <v>115</v>
      </c>
      <c r="B6" s="912" t="s">
        <v>116</v>
      </c>
      <c r="C6" s="915" t="s">
        <v>230</v>
      </c>
      <c r="D6" s="913"/>
      <c r="E6" s="910" t="s">
        <v>115</v>
      </c>
      <c r="F6" s="951" t="s">
        <v>116</v>
      </c>
      <c r="G6" s="915" t="s">
        <v>230</v>
      </c>
      <c r="H6" s="1549" t="str">
        <f>IF(AND(SUMIF($S:$S,"SQ9",$R:$R)=0,ISBLANK('SICI(5)'!F13),ISBLANK('SICI(5)'!F17)),"OK",IF(AND(ABS(SUMIF($S:$S,"SQ9",$R:$R))&gt;0,ISBLANK('SICI(5)'!F13),ISBLANK('SICI(5)'!F17)),"Attenzione: inserire le voci di costituzione del fondo unicamente in presenza di certificazione dello stesso (cfr. SICI GEN353 o GEN355) !",IF(AND(SUMIF($S:$S,"SQ9",$R:$R)=0,SUM('SICI(5)'!F13,'SICI(5)'!F17)&gt;0),"Attenzione: in presenza di date di certificazione del fondo (cfr. SICI GEN353 o GEN355) è necessario compilare il lato costituzione di T15 !","OK")))</f>
        <v>OK</v>
      </c>
      <c r="I6" s="1053"/>
      <c r="J6" s="1053"/>
      <c r="K6" s="1053"/>
      <c r="L6" s="1053"/>
    </row>
    <row r="7" spans="1:23" ht="17.100000000000001" customHeight="1" x14ac:dyDescent="0.25">
      <c r="A7" s="916" t="s">
        <v>742</v>
      </c>
      <c r="B7" s="917"/>
      <c r="C7" s="918"/>
      <c r="D7" s="1054"/>
      <c r="E7" s="1055" t="str">
        <f>A7</f>
        <v>Fondo risorse decentrate</v>
      </c>
      <c r="F7" s="1056"/>
      <c r="G7" s="1057"/>
      <c r="H7" s="1554"/>
      <c r="I7" s="908"/>
      <c r="O7" s="763" t="s">
        <v>633</v>
      </c>
      <c r="P7" s="920"/>
      <c r="Q7" s="921"/>
      <c r="R7" s="921"/>
      <c r="S7" s="899"/>
      <c r="T7" s="763" t="s">
        <v>634</v>
      </c>
      <c r="U7" s="920"/>
      <c r="V7" s="921"/>
      <c r="W7" s="921"/>
    </row>
    <row r="8" spans="1:23" ht="17.100000000000001" customHeight="1" x14ac:dyDescent="0.2">
      <c r="A8" s="922" t="s">
        <v>635</v>
      </c>
      <c r="B8" s="1058"/>
      <c r="C8" s="1059"/>
      <c r="D8" s="1060"/>
      <c r="E8" s="926" t="s">
        <v>842</v>
      </c>
      <c r="F8" s="1058"/>
      <c r="G8" s="1059"/>
      <c r="H8" s="1554"/>
      <c r="I8" s="908"/>
      <c r="O8" s="764" t="s">
        <v>636</v>
      </c>
      <c r="P8" s="764" t="s">
        <v>637</v>
      </c>
      <c r="Q8" s="764" t="s">
        <v>638</v>
      </c>
      <c r="R8" s="764" t="s">
        <v>639</v>
      </c>
      <c r="S8" s="899"/>
      <c r="T8" s="764" t="s">
        <v>636</v>
      </c>
      <c r="U8" s="764" t="s">
        <v>637</v>
      </c>
      <c r="V8" s="764" t="s">
        <v>638</v>
      </c>
      <c r="W8" s="764" t="s">
        <v>639</v>
      </c>
    </row>
    <row r="9" spans="1:23" ht="17.100000000000001" customHeight="1" x14ac:dyDescent="0.2">
      <c r="A9" s="887" t="s">
        <v>725</v>
      </c>
      <c r="B9" s="912" t="s">
        <v>726</v>
      </c>
      <c r="C9" s="929"/>
      <c r="D9" s="1019"/>
      <c r="E9" s="933" t="s">
        <v>995</v>
      </c>
      <c r="F9" s="1219" t="s">
        <v>996</v>
      </c>
      <c r="G9" s="929"/>
      <c r="H9" s="1554"/>
      <c r="I9" s="908"/>
      <c r="O9" s="898">
        <v>52</v>
      </c>
      <c r="P9" s="898">
        <v>7</v>
      </c>
      <c r="Q9" s="898" t="str">
        <f t="shared" ref="Q9:Q19" si="0">B9</f>
        <v>F05L</v>
      </c>
      <c r="R9" s="930">
        <f t="shared" ref="R9:R19" si="1">IF(ISNUMBER(C9),ROUND(C9,0),0)</f>
        <v>0</v>
      </c>
      <c r="S9" s="898" t="str">
        <f>VLOOKUP(O9,$Q:$R,2,FALSE)</f>
        <v>SQ9</v>
      </c>
      <c r="T9" s="950">
        <v>52</v>
      </c>
      <c r="U9" s="950">
        <v>61</v>
      </c>
      <c r="V9" s="898" t="str">
        <f t="shared" ref="V9:V21" si="2">F9</f>
        <v>U20S</v>
      </c>
      <c r="W9" s="930">
        <f t="shared" ref="W9:W21" si="3">IF(ISNUMBER(G9),ROUND(G9,0),0)</f>
        <v>0</v>
      </c>
    </row>
    <row r="10" spans="1:23" ht="17.100000000000001" customHeight="1" x14ac:dyDescent="0.2">
      <c r="A10" s="887" t="s">
        <v>997</v>
      </c>
      <c r="B10" s="912" t="s">
        <v>998</v>
      </c>
      <c r="C10" s="929"/>
      <c r="D10" s="1019"/>
      <c r="E10" s="933" t="s">
        <v>905</v>
      </c>
      <c r="F10" s="912" t="s">
        <v>747</v>
      </c>
      <c r="G10" s="929"/>
      <c r="H10" s="1554"/>
      <c r="I10" s="908"/>
      <c r="O10" s="898">
        <v>52</v>
      </c>
      <c r="P10" s="898">
        <v>7</v>
      </c>
      <c r="Q10" s="898" t="str">
        <f t="shared" si="0"/>
        <v>F20S</v>
      </c>
      <c r="R10" s="930">
        <f t="shared" si="1"/>
        <v>0</v>
      </c>
      <c r="S10" s="898" t="str">
        <f>VLOOKUP(O10,$Q:$R,2,FALSE)</f>
        <v>SQ9</v>
      </c>
      <c r="T10" s="950">
        <v>52</v>
      </c>
      <c r="U10" s="950">
        <v>61</v>
      </c>
      <c r="V10" s="898" t="str">
        <f t="shared" si="2"/>
        <v>U02P</v>
      </c>
      <c r="W10" s="930">
        <f t="shared" si="3"/>
        <v>0</v>
      </c>
    </row>
    <row r="11" spans="1:23" ht="17.100000000000001" customHeight="1" thickBot="1" x14ac:dyDescent="0.25">
      <c r="A11" s="887" t="s">
        <v>819</v>
      </c>
      <c r="B11" s="912" t="s">
        <v>727</v>
      </c>
      <c r="C11" s="929"/>
      <c r="D11" s="1019"/>
      <c r="E11" s="933" t="s">
        <v>903</v>
      </c>
      <c r="F11" s="912" t="s">
        <v>744</v>
      </c>
      <c r="G11" s="929"/>
      <c r="H11" s="1555"/>
      <c r="I11" s="908"/>
      <c r="O11" s="898">
        <v>52</v>
      </c>
      <c r="P11" s="898">
        <v>7</v>
      </c>
      <c r="Q11" s="898" t="str">
        <f t="shared" si="0"/>
        <v>F05M</v>
      </c>
      <c r="R11" s="930">
        <f t="shared" si="1"/>
        <v>0</v>
      </c>
      <c r="S11" s="898" t="str">
        <f>VLOOKUP(O11,$Q:$R,2,FALSE)</f>
        <v>SQ9</v>
      </c>
      <c r="T11" s="950">
        <v>52</v>
      </c>
      <c r="U11" s="950">
        <v>61</v>
      </c>
      <c r="V11" s="898" t="str">
        <f t="shared" si="2"/>
        <v>U02L</v>
      </c>
      <c r="W11" s="930">
        <f t="shared" si="3"/>
        <v>0</v>
      </c>
    </row>
    <row r="12" spans="1:23" ht="17.100000000000001" customHeight="1" thickBot="1" x14ac:dyDescent="0.25">
      <c r="A12" s="887" t="s">
        <v>1108</v>
      </c>
      <c r="B12" s="912" t="s">
        <v>999</v>
      </c>
      <c r="C12" s="929"/>
      <c r="D12" s="1019"/>
      <c r="E12" s="933" t="s">
        <v>904</v>
      </c>
      <c r="F12" s="912" t="s">
        <v>745</v>
      </c>
      <c r="G12" s="929"/>
      <c r="H12" s="935" t="s">
        <v>718</v>
      </c>
      <c r="I12" s="908"/>
      <c r="O12" s="898">
        <v>52</v>
      </c>
      <c r="P12" s="898">
        <v>7</v>
      </c>
      <c r="Q12" s="898" t="str">
        <f t="shared" si="0"/>
        <v>F20T</v>
      </c>
      <c r="R12" s="930">
        <f t="shared" si="1"/>
        <v>0</v>
      </c>
      <c r="S12" s="898" t="str">
        <f>VLOOKUP(O12,$Q:$R,2,FALSE)</f>
        <v>SQ9</v>
      </c>
      <c r="T12" s="950">
        <v>52</v>
      </c>
      <c r="U12" s="950">
        <v>61</v>
      </c>
      <c r="V12" s="898" t="str">
        <f t="shared" si="2"/>
        <v>U02M</v>
      </c>
      <c r="W12" s="930">
        <f t="shared" si="3"/>
        <v>0</v>
      </c>
    </row>
    <row r="13" spans="1:23" ht="17.100000000000001" customHeight="1" x14ac:dyDescent="0.2">
      <c r="A13" s="887" t="s">
        <v>1186</v>
      </c>
      <c r="B13" s="912" t="s">
        <v>1187</v>
      </c>
      <c r="C13" s="929"/>
      <c r="D13" s="1019"/>
      <c r="E13" s="933" t="s">
        <v>1000</v>
      </c>
      <c r="F13" s="1219" t="s">
        <v>1001</v>
      </c>
      <c r="G13" s="929"/>
      <c r="H13" s="1549" t="str">
        <f>IF(LEN(H15&amp;H16&amp;H17&amp;H18)&gt;0,"Attenzione, le seguenti voci creano incongruenza perché magg. del 10% del totale:","OK")</f>
        <v>OK</v>
      </c>
      <c r="I13" s="908"/>
      <c r="O13" s="898">
        <v>52</v>
      </c>
      <c r="P13" s="898">
        <v>7</v>
      </c>
      <c r="Q13" s="898" t="str">
        <f t="shared" si="0"/>
        <v>F32O</v>
      </c>
      <c r="R13" s="930">
        <f t="shared" si="1"/>
        <v>0</v>
      </c>
      <c r="S13" s="898" t="str">
        <f t="shared" ref="S13:S18" si="4">VLOOKUP(O14,$Q:$R,2,FALSE)</f>
        <v>SQ9</v>
      </c>
      <c r="T13" s="950">
        <v>52</v>
      </c>
      <c r="U13" s="950">
        <v>61</v>
      </c>
      <c r="V13" s="898" t="str">
        <f t="shared" si="2"/>
        <v>U07H</v>
      </c>
      <c r="W13" s="930">
        <f t="shared" si="3"/>
        <v>0</v>
      </c>
    </row>
    <row r="14" spans="1:23" ht="17.100000000000001" customHeight="1" x14ac:dyDescent="0.2">
      <c r="A14" s="887" t="s">
        <v>817</v>
      </c>
      <c r="B14" s="912" t="s">
        <v>728</v>
      </c>
      <c r="C14" s="929"/>
      <c r="D14" s="1019"/>
      <c r="E14" s="933" t="s">
        <v>902</v>
      </c>
      <c r="F14" s="912" t="s">
        <v>746</v>
      </c>
      <c r="G14" s="929"/>
      <c r="H14" s="1552"/>
      <c r="I14" s="908"/>
      <c r="O14" s="898">
        <v>52</v>
      </c>
      <c r="P14" s="898">
        <v>7</v>
      </c>
      <c r="Q14" s="898" t="str">
        <f t="shared" si="0"/>
        <v>F05N</v>
      </c>
      <c r="R14" s="930">
        <f t="shared" si="1"/>
        <v>0</v>
      </c>
      <c r="S14" s="898" t="str">
        <f t="shared" si="4"/>
        <v>SQ9</v>
      </c>
      <c r="T14" s="950">
        <v>52</v>
      </c>
      <c r="U14" s="950">
        <v>61</v>
      </c>
      <c r="V14" s="898" t="str">
        <f t="shared" si="2"/>
        <v>U02N</v>
      </c>
      <c r="W14" s="930">
        <f t="shared" si="3"/>
        <v>0</v>
      </c>
    </row>
    <row r="15" spans="1:23" ht="17.100000000000001" customHeight="1" x14ac:dyDescent="0.2">
      <c r="A15" s="887" t="s">
        <v>818</v>
      </c>
      <c r="B15" s="912" t="s">
        <v>729</v>
      </c>
      <c r="C15" s="929"/>
      <c r="D15" s="1019"/>
      <c r="E15" s="933" t="s">
        <v>1002</v>
      </c>
      <c r="F15" s="912" t="s">
        <v>1003</v>
      </c>
      <c r="G15" s="929"/>
      <c r="H15" s="1043" t="str">
        <f>IF(C44&lt;&gt;0,IF(R19/ABS(C$44)&gt;0.1,"Fondo risorse decentrate - Altre risorse fisse - F00O",""),"")</f>
        <v/>
      </c>
      <c r="I15" s="908"/>
      <c r="O15" s="898">
        <v>52</v>
      </c>
      <c r="P15" s="898">
        <v>7</v>
      </c>
      <c r="Q15" s="898" t="str">
        <f t="shared" si="0"/>
        <v>F05O</v>
      </c>
      <c r="R15" s="930">
        <f t="shared" si="1"/>
        <v>0</v>
      </c>
      <c r="S15" s="898" t="str">
        <f t="shared" si="4"/>
        <v>SQ9</v>
      </c>
      <c r="T15" s="950">
        <v>52</v>
      </c>
      <c r="U15" s="950">
        <v>61</v>
      </c>
      <c r="V15" s="898" t="str">
        <f t="shared" si="2"/>
        <v>U00L</v>
      </c>
      <c r="W15" s="930">
        <f t="shared" si="3"/>
        <v>0</v>
      </c>
    </row>
    <row r="16" spans="1:23" ht="17.100000000000001" customHeight="1" x14ac:dyDescent="0.2">
      <c r="A16" s="887" t="s">
        <v>730</v>
      </c>
      <c r="B16" s="1061" t="s">
        <v>731</v>
      </c>
      <c r="C16" s="929"/>
      <c r="D16" s="1019"/>
      <c r="E16" s="887" t="s">
        <v>906</v>
      </c>
      <c r="F16" s="1061" t="s">
        <v>748</v>
      </c>
      <c r="G16" s="929"/>
      <c r="H16" s="1043" t="str">
        <f>IF(C44&lt;&gt;0,IF(R35/ABS(C$44)&gt;0.1,"Fondo risorse decentrate - Altre risorse variabili - F00O",""),"")</f>
        <v/>
      </c>
      <c r="I16" s="908"/>
      <c r="O16" s="898">
        <v>52</v>
      </c>
      <c r="P16" s="898">
        <v>7</v>
      </c>
      <c r="Q16" s="898" t="str">
        <f t="shared" si="0"/>
        <v>F70A</v>
      </c>
      <c r="R16" s="930">
        <f t="shared" si="1"/>
        <v>0</v>
      </c>
      <c r="S16" s="898" t="str">
        <f t="shared" si="4"/>
        <v>SQ9</v>
      </c>
      <c r="T16" s="950">
        <v>52</v>
      </c>
      <c r="U16" s="950">
        <v>61</v>
      </c>
      <c r="V16" s="898" t="str">
        <f t="shared" si="2"/>
        <v>U02Q</v>
      </c>
      <c r="W16" s="930">
        <f t="shared" si="3"/>
        <v>0</v>
      </c>
    </row>
    <row r="17" spans="1:23" ht="17.100000000000001" customHeight="1" x14ac:dyDescent="0.2">
      <c r="A17" s="887" t="s">
        <v>890</v>
      </c>
      <c r="B17" s="912" t="s">
        <v>719</v>
      </c>
      <c r="C17" s="929"/>
      <c r="D17" s="1019"/>
      <c r="E17" s="933" t="s">
        <v>907</v>
      </c>
      <c r="F17" s="912" t="s">
        <v>749</v>
      </c>
      <c r="G17" s="929"/>
      <c r="H17" s="1043" t="str">
        <f>IF(C44&lt;&gt;0,IF(R42/ABS(C$44)&gt;0.1,"Fondo risorse decentrate - Altre decurtazioni - F01P",""),"")</f>
        <v/>
      </c>
      <c r="I17" s="908"/>
      <c r="O17" s="898">
        <v>52</v>
      </c>
      <c r="P17" s="898">
        <v>7</v>
      </c>
      <c r="Q17" s="898" t="str">
        <f t="shared" si="0"/>
        <v>F02Z</v>
      </c>
      <c r="R17" s="930">
        <f t="shared" si="1"/>
        <v>0</v>
      </c>
      <c r="S17" s="898" t="str">
        <f t="shared" si="4"/>
        <v>SQ9</v>
      </c>
      <c r="T17" s="950">
        <v>52</v>
      </c>
      <c r="U17" s="950">
        <v>61</v>
      </c>
      <c r="V17" s="898" t="str">
        <f t="shared" si="2"/>
        <v>U02R</v>
      </c>
      <c r="W17" s="930">
        <f t="shared" si="3"/>
        <v>0</v>
      </c>
    </row>
    <row r="18" spans="1:23" ht="17.100000000000001" customHeight="1" x14ac:dyDescent="0.2">
      <c r="A18" s="887" t="s">
        <v>1004</v>
      </c>
      <c r="B18" s="951" t="s">
        <v>844</v>
      </c>
      <c r="C18" s="929"/>
      <c r="D18" s="1019"/>
      <c r="E18" s="933" t="s">
        <v>908</v>
      </c>
      <c r="F18" s="912" t="s">
        <v>750</v>
      </c>
      <c r="G18" s="929"/>
      <c r="H18" s="1043" t="str">
        <f>IF(G24&lt;&gt;0,IF(W22/ABS(G24)&gt;0.1,"Fondo risorse decentrate - Altre destinazioni - U998",""),"")</f>
        <v/>
      </c>
      <c r="I18" s="908"/>
      <c r="O18" s="898">
        <v>52</v>
      </c>
      <c r="P18" s="898">
        <v>7</v>
      </c>
      <c r="Q18" s="898" t="str">
        <f t="shared" si="0"/>
        <v>F16L</v>
      </c>
      <c r="R18" s="930">
        <f t="shared" si="1"/>
        <v>0</v>
      </c>
      <c r="S18" s="898" t="str">
        <f t="shared" si="4"/>
        <v>SQ9</v>
      </c>
      <c r="T18" s="950">
        <v>52</v>
      </c>
      <c r="U18" s="950">
        <v>61</v>
      </c>
      <c r="V18" s="898" t="str">
        <f t="shared" si="2"/>
        <v>U02S</v>
      </c>
      <c r="W18" s="930">
        <f t="shared" si="3"/>
        <v>0</v>
      </c>
    </row>
    <row r="19" spans="1:23" ht="17.100000000000001" customHeight="1" thickBot="1" x14ac:dyDescent="0.25">
      <c r="A19" s="887" t="s">
        <v>895</v>
      </c>
      <c r="B19" s="951" t="s">
        <v>896</v>
      </c>
      <c r="C19" s="929"/>
      <c r="D19" s="1019"/>
      <c r="E19" s="887" t="s">
        <v>909</v>
      </c>
      <c r="F19" s="912" t="s">
        <v>751</v>
      </c>
      <c r="G19" s="929"/>
      <c r="H19" s="874"/>
      <c r="I19" s="908"/>
      <c r="O19" s="937">
        <v>52</v>
      </c>
      <c r="P19" s="937">
        <v>7</v>
      </c>
      <c r="Q19" s="937" t="str">
        <f t="shared" si="0"/>
        <v>F00O</v>
      </c>
      <c r="R19" s="938">
        <f t="shared" si="1"/>
        <v>0</v>
      </c>
      <c r="S19" s="898"/>
      <c r="T19" s="950">
        <v>52</v>
      </c>
      <c r="U19" s="950">
        <v>61</v>
      </c>
      <c r="V19" s="898" t="str">
        <f t="shared" si="2"/>
        <v>U02T</v>
      </c>
      <c r="W19" s="930">
        <f t="shared" si="3"/>
        <v>0</v>
      </c>
    </row>
    <row r="20" spans="1:23" ht="17.100000000000001" customHeight="1" thickBot="1" x14ac:dyDescent="0.25">
      <c r="A20" s="999" t="s">
        <v>345</v>
      </c>
      <c r="B20" s="1062"/>
      <c r="C20" s="1048">
        <f>SUM(C9:C19)</f>
        <v>0</v>
      </c>
      <c r="D20" s="1019"/>
      <c r="E20" s="887" t="s">
        <v>1109</v>
      </c>
      <c r="F20" s="951" t="s">
        <v>752</v>
      </c>
      <c r="G20" s="929"/>
      <c r="H20" s="935" t="s">
        <v>992</v>
      </c>
      <c r="I20" s="908"/>
      <c r="O20" s="898"/>
      <c r="P20" s="898"/>
      <c r="Q20" s="898"/>
      <c r="R20" s="930"/>
      <c r="S20" s="898"/>
      <c r="T20" s="950">
        <v>52</v>
      </c>
      <c r="U20" s="950">
        <v>61</v>
      </c>
      <c r="V20" s="898" t="str">
        <f t="shared" si="2"/>
        <v>U22I</v>
      </c>
      <c r="W20" s="930">
        <f t="shared" si="3"/>
        <v>0</v>
      </c>
    </row>
    <row r="21" spans="1:23" ht="17.100000000000001" customHeight="1" x14ac:dyDescent="0.2">
      <c r="A21" s="922" t="s">
        <v>346</v>
      </c>
      <c r="B21" s="923"/>
      <c r="C21" s="924"/>
      <c r="D21" s="1019"/>
      <c r="E21" s="887" t="s">
        <v>1188</v>
      </c>
      <c r="F21" s="951" t="s">
        <v>1189</v>
      </c>
      <c r="G21" s="929"/>
      <c r="H21" s="1549" t="str">
        <f>IF(AND(SUM($R:$R)&lt;&gt;0,SUM('SICI(5)'!$F$13,'SICI(5)'!$F$17)&gt;0),IF(SUM($R:$R)-(SUMIF($P:$P,"81",$R:$R)*2)-SUM($W:$W)&lt;0,"Attenzione, le destinazioni risultano superiori alle relative risorse e generano pertanto squadratura 8. ","OK"),"OK")</f>
        <v>OK</v>
      </c>
      <c r="I21" s="908"/>
      <c r="O21" s="898"/>
      <c r="P21" s="898"/>
      <c r="Q21" s="898"/>
      <c r="R21" s="930"/>
      <c r="S21" s="898" t="str">
        <f t="shared" ref="S21:S34" si="5">VLOOKUP(O22,$Q:$R,2,FALSE)</f>
        <v>SQ9</v>
      </c>
      <c r="T21" s="950">
        <v>52</v>
      </c>
      <c r="U21" s="950">
        <v>61</v>
      </c>
      <c r="V21" s="898" t="str">
        <f t="shared" si="2"/>
        <v>U00Q</v>
      </c>
      <c r="W21" s="930">
        <f t="shared" si="3"/>
        <v>0</v>
      </c>
    </row>
    <row r="22" spans="1:23" ht="17.100000000000001" customHeight="1" x14ac:dyDescent="0.2">
      <c r="A22" s="1359" t="s">
        <v>732</v>
      </c>
      <c r="B22" s="912" t="s">
        <v>465</v>
      </c>
      <c r="C22" s="929"/>
      <c r="D22" s="1019"/>
      <c r="E22" s="933" t="s">
        <v>568</v>
      </c>
      <c r="F22" s="934" t="s">
        <v>472</v>
      </c>
      <c r="G22" s="929"/>
      <c r="H22" s="1552"/>
      <c r="I22" s="908"/>
      <c r="O22" s="898">
        <v>52</v>
      </c>
      <c r="P22" s="898">
        <v>9</v>
      </c>
      <c r="Q22" s="898" t="str">
        <f t="shared" ref="Q22:Q35" si="6">B22</f>
        <v>F50H</v>
      </c>
      <c r="R22" s="930">
        <f t="shared" ref="R22:R35" si="7">IF(ISNUMBER(C22),ROUND(C22,0),0)</f>
        <v>0</v>
      </c>
      <c r="S22" s="898" t="str">
        <f t="shared" si="5"/>
        <v>SQ9</v>
      </c>
      <c r="T22" s="964">
        <v>52</v>
      </c>
      <c r="U22" s="964">
        <v>61</v>
      </c>
      <c r="V22" s="937" t="str">
        <f>F22</f>
        <v>U998</v>
      </c>
      <c r="W22" s="938">
        <f>IF(ISNUMBER(G22),ROUND(G22,0),0)</f>
        <v>0</v>
      </c>
    </row>
    <row r="23" spans="1:23" ht="17.100000000000001" customHeight="1" thickBot="1" x14ac:dyDescent="0.25">
      <c r="A23" s="1360" t="s">
        <v>733</v>
      </c>
      <c r="B23" s="912" t="s">
        <v>466</v>
      </c>
      <c r="C23" s="929"/>
      <c r="D23" s="1019"/>
      <c r="E23" s="939" t="s">
        <v>843</v>
      </c>
      <c r="F23" s="1063"/>
      <c r="G23" s="1064">
        <f>SUM(G9:G22)</f>
        <v>0</v>
      </c>
      <c r="H23" s="1552"/>
      <c r="I23" s="908"/>
      <c r="O23" s="898">
        <v>52</v>
      </c>
      <c r="P23" s="898">
        <v>9</v>
      </c>
      <c r="Q23" s="898" t="str">
        <f t="shared" si="6"/>
        <v>F51H</v>
      </c>
      <c r="R23" s="930">
        <f t="shared" si="7"/>
        <v>0</v>
      </c>
      <c r="S23" s="898" t="str">
        <f t="shared" si="5"/>
        <v>SQ9</v>
      </c>
      <c r="U23" s="898"/>
      <c r="V23" s="898"/>
      <c r="W23" s="898"/>
    </row>
    <row r="24" spans="1:23" ht="17.100000000000001" customHeight="1" thickBot="1" x14ac:dyDescent="0.25">
      <c r="A24" s="887" t="s">
        <v>734</v>
      </c>
      <c r="B24" s="912" t="s">
        <v>567</v>
      </c>
      <c r="C24" s="929"/>
      <c r="D24" s="1019"/>
      <c r="E24" s="1065" t="str">
        <f>A44</f>
        <v>Totale Fondo risorse decentrate</v>
      </c>
      <c r="F24" s="1041"/>
      <c r="G24" s="1042">
        <f>G23</f>
        <v>0</v>
      </c>
      <c r="H24" s="1553"/>
      <c r="I24" s="908"/>
      <c r="O24" s="898">
        <v>52</v>
      </c>
      <c r="P24" s="898">
        <v>9</v>
      </c>
      <c r="Q24" s="898" t="str">
        <f t="shared" si="6"/>
        <v>F96H</v>
      </c>
      <c r="R24" s="930">
        <f t="shared" si="7"/>
        <v>0</v>
      </c>
      <c r="S24" s="898" t="str">
        <f t="shared" si="5"/>
        <v>SQ9</v>
      </c>
      <c r="T24" s="898"/>
      <c r="U24" s="898"/>
      <c r="V24" s="898"/>
      <c r="W24" s="898"/>
    </row>
    <row r="25" spans="1:23" ht="17.100000000000001" customHeight="1" x14ac:dyDescent="0.2">
      <c r="A25" s="887" t="s">
        <v>897</v>
      </c>
      <c r="B25" s="1061" t="s">
        <v>898</v>
      </c>
      <c r="C25" s="929"/>
      <c r="D25" s="1019"/>
      <c r="E25" s="1066"/>
      <c r="F25" s="1067"/>
      <c r="G25" s="1068"/>
      <c r="H25" s="1358"/>
      <c r="I25" s="908"/>
      <c r="O25" s="898">
        <v>52</v>
      </c>
      <c r="P25" s="898">
        <v>9</v>
      </c>
      <c r="Q25" s="898" t="str">
        <f t="shared" si="6"/>
        <v>F19S</v>
      </c>
      <c r="R25" s="930">
        <f t="shared" si="7"/>
        <v>0</v>
      </c>
      <c r="S25" s="898" t="str">
        <f t="shared" si="5"/>
        <v>SQ9</v>
      </c>
    </row>
    <row r="26" spans="1:23" ht="17.100000000000001" customHeight="1" x14ac:dyDescent="0.2">
      <c r="A26" s="887" t="s">
        <v>1156</v>
      </c>
      <c r="B26" s="912" t="s">
        <v>1110</v>
      </c>
      <c r="C26" s="929"/>
      <c r="D26" s="906"/>
      <c r="E26" s="1066"/>
      <c r="F26" s="1067"/>
      <c r="G26" s="1068"/>
      <c r="H26" s="1361" t="str">
        <f>IF(SUMIFS($R:$R,$P:$P,"&lt;&gt;81",$O:$O,$Q2)-SUMIFS($R:$R,$P:$P,"81",$O:$O,$Q2)-SUMIF($T:$T,$Q$2,$W:$W)&lt;0,$A$45,"")</f>
        <v/>
      </c>
      <c r="I26" s="908"/>
      <c r="O26" s="898">
        <v>52</v>
      </c>
      <c r="P26" s="898">
        <v>9</v>
      </c>
      <c r="Q26" s="898" t="str">
        <f t="shared" si="6"/>
        <v>F24O</v>
      </c>
      <c r="R26" s="930">
        <f t="shared" si="7"/>
        <v>0</v>
      </c>
      <c r="S26" s="898" t="str">
        <f t="shared" si="5"/>
        <v>SQ9</v>
      </c>
    </row>
    <row r="27" spans="1:23" ht="17.100000000000001" customHeight="1" x14ac:dyDescent="0.2">
      <c r="A27" s="1373" t="s">
        <v>1157</v>
      </c>
      <c r="B27" s="951" t="s">
        <v>1111</v>
      </c>
      <c r="C27" s="929"/>
      <c r="D27" s="906"/>
      <c r="E27" s="1066"/>
      <c r="F27" s="1067"/>
      <c r="G27" s="1068"/>
      <c r="H27" s="1069"/>
      <c r="I27" s="908"/>
      <c r="O27" s="898">
        <v>52</v>
      </c>
      <c r="P27" s="898">
        <v>9</v>
      </c>
      <c r="Q27" s="898" t="str">
        <f t="shared" si="6"/>
        <v>F24P</v>
      </c>
      <c r="R27" s="930">
        <f t="shared" si="7"/>
        <v>0</v>
      </c>
      <c r="S27" s="898" t="str">
        <f t="shared" si="5"/>
        <v>SQ9</v>
      </c>
    </row>
    <row r="28" spans="1:23" ht="17.100000000000001" customHeight="1" x14ac:dyDescent="0.2">
      <c r="A28" s="887" t="s">
        <v>1112</v>
      </c>
      <c r="B28" s="951" t="s">
        <v>1113</v>
      </c>
      <c r="C28" s="929"/>
      <c r="D28" s="906"/>
      <c r="E28" s="1066"/>
      <c r="F28" s="1067"/>
      <c r="G28" s="1068"/>
      <c r="H28" s="1070"/>
      <c r="I28" s="908"/>
      <c r="O28" s="898">
        <v>52</v>
      </c>
      <c r="P28" s="898">
        <v>9</v>
      </c>
      <c r="Q28" s="898" t="str">
        <f t="shared" si="6"/>
        <v>F26U</v>
      </c>
      <c r="R28" s="930">
        <f t="shared" si="7"/>
        <v>0</v>
      </c>
      <c r="S28" s="898" t="str">
        <f t="shared" si="5"/>
        <v>SQ9</v>
      </c>
      <c r="T28" s="898"/>
      <c r="U28" s="898"/>
      <c r="V28" s="898"/>
      <c r="W28" s="898"/>
    </row>
    <row r="29" spans="1:23" ht="17.100000000000001" customHeight="1" x14ac:dyDescent="0.2">
      <c r="A29" s="887" t="s">
        <v>1114</v>
      </c>
      <c r="B29" s="951" t="s">
        <v>735</v>
      </c>
      <c r="C29" s="929"/>
      <c r="D29" s="1019"/>
      <c r="E29" s="1066"/>
      <c r="F29" s="1067"/>
      <c r="G29" s="1068"/>
      <c r="H29" s="840"/>
      <c r="I29" s="908"/>
      <c r="O29" s="898">
        <v>52</v>
      </c>
      <c r="P29" s="898">
        <v>9</v>
      </c>
      <c r="Q29" s="898" t="str">
        <f t="shared" si="6"/>
        <v>F05R</v>
      </c>
      <c r="R29" s="930">
        <f t="shared" si="7"/>
        <v>0</v>
      </c>
      <c r="S29" s="898" t="str">
        <f t="shared" si="5"/>
        <v>SQ9</v>
      </c>
      <c r="T29" s="898"/>
      <c r="U29" s="898"/>
      <c r="V29" s="898"/>
      <c r="W29" s="898"/>
    </row>
    <row r="30" spans="1:23" ht="17.100000000000001" customHeight="1" x14ac:dyDescent="0.2">
      <c r="A30" s="887" t="s">
        <v>820</v>
      </c>
      <c r="B30" s="951" t="s">
        <v>736</v>
      </c>
      <c r="C30" s="929"/>
      <c r="D30" s="1019"/>
      <c r="E30" s="1066"/>
      <c r="F30" s="1067"/>
      <c r="G30" s="1068"/>
      <c r="H30" s="840"/>
      <c r="I30" s="908"/>
      <c r="O30" s="898">
        <v>52</v>
      </c>
      <c r="P30" s="898">
        <v>9</v>
      </c>
      <c r="Q30" s="898" t="str">
        <f t="shared" si="6"/>
        <v>F05S</v>
      </c>
      <c r="R30" s="930">
        <f t="shared" si="7"/>
        <v>0</v>
      </c>
      <c r="S30" s="898" t="str">
        <f t="shared" si="5"/>
        <v>SQ9</v>
      </c>
    </row>
    <row r="31" spans="1:23" ht="17.100000000000001" customHeight="1" x14ac:dyDescent="0.2">
      <c r="A31" s="887" t="s">
        <v>1115</v>
      </c>
      <c r="B31" s="951" t="s">
        <v>1005</v>
      </c>
      <c r="C31" s="929"/>
      <c r="D31" s="1019"/>
      <c r="E31" s="1066"/>
      <c r="F31" s="1067"/>
      <c r="G31" s="1068"/>
      <c r="H31" s="840"/>
      <c r="I31" s="1071"/>
      <c r="O31" s="898">
        <v>52</v>
      </c>
      <c r="P31" s="898">
        <v>9</v>
      </c>
      <c r="Q31" s="898" t="str">
        <f t="shared" si="6"/>
        <v>F20U</v>
      </c>
      <c r="R31" s="930">
        <f t="shared" si="7"/>
        <v>0</v>
      </c>
      <c r="S31" s="898" t="str">
        <f t="shared" si="5"/>
        <v>SQ9</v>
      </c>
    </row>
    <row r="32" spans="1:23" ht="17.100000000000001" customHeight="1" x14ac:dyDescent="0.2">
      <c r="A32" s="887" t="s">
        <v>1098</v>
      </c>
      <c r="B32" s="1356" t="s">
        <v>1099</v>
      </c>
      <c r="C32" s="929"/>
      <c r="D32" s="1019"/>
      <c r="E32" s="1066"/>
      <c r="F32" s="1067"/>
      <c r="G32" s="1068"/>
      <c r="H32" s="840"/>
      <c r="I32" s="1071"/>
      <c r="O32" s="898">
        <v>52</v>
      </c>
      <c r="P32" s="898">
        <v>9</v>
      </c>
      <c r="Q32" s="898" t="str">
        <f t="shared" si="6"/>
        <v>F24T</v>
      </c>
      <c r="R32" s="930">
        <f t="shared" si="7"/>
        <v>0</v>
      </c>
      <c r="S32" s="898" t="str">
        <f t="shared" si="5"/>
        <v>SQ9</v>
      </c>
      <c r="T32" s="898"/>
      <c r="U32" s="898"/>
      <c r="V32" s="898"/>
      <c r="W32" s="898"/>
    </row>
    <row r="33" spans="1:23" ht="17.100000000000001" customHeight="1" x14ac:dyDescent="0.2">
      <c r="A33" s="887" t="s">
        <v>821</v>
      </c>
      <c r="B33" s="951" t="s">
        <v>737</v>
      </c>
      <c r="C33" s="929"/>
      <c r="D33" s="1019"/>
      <c r="E33" s="1066"/>
      <c r="F33" s="1067"/>
      <c r="G33" s="1068"/>
      <c r="H33" s="840"/>
      <c r="I33" s="1071"/>
      <c r="O33" s="898">
        <v>52</v>
      </c>
      <c r="P33" s="898">
        <v>9</v>
      </c>
      <c r="Q33" s="898" t="str">
        <f t="shared" si="6"/>
        <v>F05T</v>
      </c>
      <c r="R33" s="930">
        <f t="shared" si="7"/>
        <v>0</v>
      </c>
      <c r="S33" s="898" t="str">
        <f t="shared" si="5"/>
        <v>SQ9</v>
      </c>
      <c r="T33" s="898"/>
      <c r="U33" s="898"/>
      <c r="V33" s="898"/>
      <c r="W33" s="898"/>
    </row>
    <row r="34" spans="1:23" ht="17.100000000000001" customHeight="1" x14ac:dyDescent="0.2">
      <c r="A34" s="887" t="s">
        <v>1100</v>
      </c>
      <c r="B34" s="932" t="s">
        <v>470</v>
      </c>
      <c r="C34" s="929"/>
      <c r="D34" s="1019"/>
      <c r="E34" s="1066"/>
      <c r="F34" s="1067"/>
      <c r="G34" s="1068"/>
      <c r="H34" s="840"/>
      <c r="I34" s="1071"/>
      <c r="O34" s="898">
        <v>52</v>
      </c>
      <c r="P34" s="898">
        <v>9</v>
      </c>
      <c r="Q34" s="898" t="str">
        <f t="shared" si="6"/>
        <v>F999</v>
      </c>
      <c r="R34" s="930">
        <f t="shared" si="7"/>
        <v>0</v>
      </c>
      <c r="S34" s="898" t="str">
        <f t="shared" si="5"/>
        <v>SQ9</v>
      </c>
      <c r="T34" s="898"/>
      <c r="U34" s="898"/>
      <c r="V34" s="898"/>
      <c r="W34" s="898"/>
    </row>
    <row r="35" spans="1:23" ht="17.100000000000001" customHeight="1" x14ac:dyDescent="0.2">
      <c r="A35" s="887" t="s">
        <v>895</v>
      </c>
      <c r="B35" s="951" t="s">
        <v>896</v>
      </c>
      <c r="C35" s="929"/>
      <c r="D35" s="1019"/>
      <c r="E35" s="1066"/>
      <c r="F35" s="1067"/>
      <c r="G35" s="1068"/>
      <c r="I35" s="1071"/>
      <c r="O35" s="937">
        <v>52</v>
      </c>
      <c r="P35" s="937">
        <v>9</v>
      </c>
      <c r="Q35" s="937" t="str">
        <f t="shared" si="6"/>
        <v>F00O</v>
      </c>
      <c r="R35" s="938">
        <f t="shared" si="7"/>
        <v>0</v>
      </c>
      <c r="S35" s="898"/>
      <c r="T35" s="898"/>
      <c r="U35" s="898"/>
      <c r="V35" s="898"/>
      <c r="W35" s="898"/>
    </row>
    <row r="36" spans="1:23" ht="17.100000000000001" customHeight="1" thickBot="1" x14ac:dyDescent="0.25">
      <c r="A36" s="999" t="s">
        <v>347</v>
      </c>
      <c r="B36" s="1062"/>
      <c r="C36" s="1048">
        <f>SUM(C22:C35)</f>
        <v>0</v>
      </c>
      <c r="D36" s="1019"/>
      <c r="E36" s="1066"/>
      <c r="F36" s="1067"/>
      <c r="G36" s="1068"/>
      <c r="I36" s="1071"/>
      <c r="O36" s="898"/>
      <c r="P36" s="898"/>
      <c r="Q36" s="898"/>
      <c r="R36" s="930"/>
      <c r="S36" s="898"/>
      <c r="T36" s="898"/>
      <c r="U36" s="898"/>
      <c r="V36" s="898"/>
      <c r="W36" s="898"/>
    </row>
    <row r="37" spans="1:23" ht="17.100000000000001" customHeight="1" x14ac:dyDescent="0.2">
      <c r="A37" s="922" t="s">
        <v>713</v>
      </c>
      <c r="B37" s="923"/>
      <c r="C37" s="924"/>
      <c r="D37" s="1019"/>
      <c r="E37" s="1066"/>
      <c r="F37" s="1067"/>
      <c r="G37" s="1068"/>
      <c r="I37" s="1071"/>
      <c r="O37" s="898"/>
      <c r="P37" s="898"/>
      <c r="Q37" s="898"/>
      <c r="R37" s="930"/>
      <c r="S37" s="898" t="str">
        <f>VLOOKUP(O38,$Q:$R,2,FALSE)</f>
        <v>SQ9</v>
      </c>
      <c r="T37" s="898"/>
      <c r="U37" s="898"/>
      <c r="V37" s="898"/>
      <c r="W37" s="898"/>
    </row>
    <row r="38" spans="1:23" ht="17.100000000000001" customHeight="1" x14ac:dyDescent="0.2">
      <c r="A38" s="887" t="s">
        <v>738</v>
      </c>
      <c r="B38" s="912" t="s">
        <v>714</v>
      </c>
      <c r="C38" s="929"/>
      <c r="D38" s="1019"/>
      <c r="E38" s="1066"/>
      <c r="F38" s="1067"/>
      <c r="G38" s="1068"/>
      <c r="I38" s="1071"/>
      <c r="O38" s="898">
        <v>52</v>
      </c>
      <c r="P38" s="898">
        <v>81</v>
      </c>
      <c r="Q38" s="898" t="str">
        <f>B38</f>
        <v>F02P</v>
      </c>
      <c r="R38" s="930">
        <f>IF(ISNUMBER(C38),ROUND(C38,0),0)</f>
        <v>0</v>
      </c>
      <c r="S38" s="898" t="str">
        <f>VLOOKUP(O39,$Q:$R,2,FALSE)</f>
        <v>SQ9</v>
      </c>
      <c r="T38" s="898"/>
      <c r="U38" s="898"/>
      <c r="V38" s="898"/>
      <c r="W38" s="898"/>
    </row>
    <row r="39" spans="1:23" ht="17.100000000000001" customHeight="1" x14ac:dyDescent="0.2">
      <c r="A39" s="887" t="s">
        <v>739</v>
      </c>
      <c r="B39" s="912" t="s">
        <v>599</v>
      </c>
      <c r="C39" s="929"/>
      <c r="D39" s="1019"/>
      <c r="E39" s="1066"/>
      <c r="F39" s="1067"/>
      <c r="G39" s="1068"/>
      <c r="I39" s="1071"/>
      <c r="O39" s="898">
        <v>52</v>
      </c>
      <c r="P39" s="898">
        <v>81</v>
      </c>
      <c r="Q39" s="898" t="str">
        <f>B39</f>
        <v>F27I</v>
      </c>
      <c r="R39" s="930">
        <f>IF(ISNUMBER(C39),ROUND(C39,0),0)</f>
        <v>0</v>
      </c>
      <c r="S39" s="898" t="str">
        <f>VLOOKUP(O40,$Q:$R,2,FALSE)</f>
        <v>SQ9</v>
      </c>
      <c r="T39" s="898"/>
      <c r="U39" s="898"/>
      <c r="V39" s="898"/>
      <c r="W39" s="898"/>
    </row>
    <row r="40" spans="1:23" ht="17.100000000000001" customHeight="1" x14ac:dyDescent="0.2">
      <c r="A40" s="887" t="s">
        <v>784</v>
      </c>
      <c r="B40" s="912" t="s">
        <v>715</v>
      </c>
      <c r="C40" s="929"/>
      <c r="D40" s="1019"/>
      <c r="E40" s="1066"/>
      <c r="F40" s="1067"/>
      <c r="G40" s="1068"/>
      <c r="I40" s="1071"/>
      <c r="O40" s="898">
        <v>52</v>
      </c>
      <c r="P40" s="898">
        <v>81</v>
      </c>
      <c r="Q40" s="898" t="str">
        <f>B40</f>
        <v>F00P</v>
      </c>
      <c r="R40" s="930">
        <f>IF(ISNUMBER(C40),ROUND(C40,0),0)</f>
        <v>0</v>
      </c>
      <c r="S40" s="898" t="str">
        <f>VLOOKUP(O41,$Q:$R,2,FALSE)</f>
        <v>SQ9</v>
      </c>
      <c r="T40" s="898"/>
      <c r="U40" s="898"/>
      <c r="V40" s="898"/>
      <c r="W40" s="898"/>
    </row>
    <row r="41" spans="1:23" ht="17.100000000000001" customHeight="1" x14ac:dyDescent="0.2">
      <c r="A41" s="887" t="s">
        <v>740</v>
      </c>
      <c r="B41" s="974" t="s">
        <v>741</v>
      </c>
      <c r="C41" s="929"/>
      <c r="D41" s="1019"/>
      <c r="E41" s="1066"/>
      <c r="F41" s="1067"/>
      <c r="G41" s="1068"/>
      <c r="I41" s="1071"/>
      <c r="O41" s="898">
        <v>52</v>
      </c>
      <c r="P41" s="898">
        <v>81</v>
      </c>
      <c r="Q41" s="898" t="str">
        <f>B41</f>
        <v>F01S</v>
      </c>
      <c r="R41" s="930">
        <f>IF(ISNUMBER(C41),ROUND(C41,0),0)</f>
        <v>0</v>
      </c>
      <c r="S41" s="898" t="str">
        <f>VLOOKUP(O42,$Q:$R,2,FALSE)</f>
        <v>SQ9</v>
      </c>
      <c r="T41" s="898"/>
      <c r="U41" s="898"/>
      <c r="V41" s="898"/>
      <c r="W41" s="898"/>
    </row>
    <row r="42" spans="1:23" ht="17.100000000000001" customHeight="1" x14ac:dyDescent="0.2">
      <c r="A42" s="887" t="s">
        <v>899</v>
      </c>
      <c r="B42" s="951" t="s">
        <v>716</v>
      </c>
      <c r="C42" s="929"/>
      <c r="D42" s="1019"/>
      <c r="E42" s="1066"/>
      <c r="F42" s="1067"/>
      <c r="G42" s="1068"/>
      <c r="O42" s="937">
        <v>52</v>
      </c>
      <c r="P42" s="937">
        <v>81</v>
      </c>
      <c r="Q42" s="937" t="str">
        <f>B42</f>
        <v>F01P</v>
      </c>
      <c r="R42" s="938">
        <f>IF(ISNUMBER(C42),ROUND(C42,0),0)</f>
        <v>0</v>
      </c>
      <c r="S42" s="898"/>
      <c r="T42" s="898"/>
      <c r="U42" s="898"/>
      <c r="V42" s="898"/>
      <c r="W42" s="898"/>
    </row>
    <row r="43" spans="1:23" ht="17.100000000000001" customHeight="1" thickBot="1" x14ac:dyDescent="0.25">
      <c r="A43" s="999" t="s">
        <v>717</v>
      </c>
      <c r="B43" s="1062"/>
      <c r="C43" s="1048">
        <f>SUM(C38:C42)</f>
        <v>0</v>
      </c>
      <c r="D43" s="1019"/>
      <c r="E43" s="1066"/>
      <c r="F43" s="1067"/>
      <c r="G43" s="1068"/>
      <c r="P43" s="898"/>
      <c r="Q43" s="898"/>
      <c r="R43" s="930"/>
      <c r="S43" s="898"/>
      <c r="T43" s="898"/>
      <c r="U43" s="898"/>
      <c r="V43" s="898"/>
      <c r="W43" s="898"/>
    </row>
    <row r="44" spans="1:23" ht="17.100000000000001" customHeight="1" thickBot="1" x14ac:dyDescent="0.25">
      <c r="A44" s="1046" t="s">
        <v>743</v>
      </c>
      <c r="B44" s="1072"/>
      <c r="C44" s="1073">
        <f>C36+C20-C43</f>
        <v>0</v>
      </c>
      <c r="D44" s="1019"/>
      <c r="E44" s="1066"/>
      <c r="F44" s="1067"/>
      <c r="G44" s="1068"/>
      <c r="P44" s="898"/>
      <c r="Q44" s="898"/>
      <c r="R44" s="930" t="str">
        <f>IF(ISNUMBER(C40),ROUND(C40,0),"")</f>
        <v/>
      </c>
      <c r="S44" s="898"/>
      <c r="T44" s="898"/>
      <c r="U44" s="898"/>
      <c r="V44" s="898"/>
      <c r="W44" s="898"/>
    </row>
    <row r="45" spans="1:23" ht="17.100000000000001" customHeight="1" x14ac:dyDescent="0.25">
      <c r="A45" s="1074" t="s">
        <v>845</v>
      </c>
      <c r="B45" s="1075"/>
      <c r="C45" s="1076"/>
      <c r="D45" s="1080"/>
      <c r="E45" s="1077" t="s">
        <v>845</v>
      </c>
      <c r="F45" s="1056"/>
      <c r="G45" s="1078"/>
      <c r="O45" s="898"/>
      <c r="P45" s="898"/>
      <c r="Q45" s="898"/>
      <c r="R45" s="930"/>
      <c r="S45" s="898"/>
      <c r="T45" s="898"/>
      <c r="U45" s="898"/>
      <c r="V45" s="898"/>
      <c r="W45" s="898"/>
    </row>
    <row r="46" spans="1:23" ht="17.100000000000001" customHeight="1" x14ac:dyDescent="0.2">
      <c r="A46" s="1079" t="s">
        <v>848</v>
      </c>
      <c r="B46" s="1075"/>
      <c r="C46" s="1076"/>
      <c r="D46" s="1080"/>
      <c r="E46" s="926" t="s">
        <v>842</v>
      </c>
      <c r="F46" s="1081"/>
      <c r="G46" s="1082"/>
      <c r="O46" s="898"/>
      <c r="P46" s="898"/>
      <c r="Q46" s="898"/>
      <c r="R46" s="930" t="str">
        <f>IF(ISNUMBER(C42),ROUND(C42,0),"")</f>
        <v/>
      </c>
      <c r="S46" s="898" t="str">
        <f>VLOOKUP(O47,$Q:$R,2,FALSE)</f>
        <v>NO</v>
      </c>
    </row>
    <row r="47" spans="1:23" ht="17.100000000000001" customHeight="1" x14ac:dyDescent="0.2">
      <c r="A47" s="887" t="s">
        <v>849</v>
      </c>
      <c r="B47" s="912" t="s">
        <v>850</v>
      </c>
      <c r="C47" s="929"/>
      <c r="D47" s="1080"/>
      <c r="E47" s="933" t="s">
        <v>954</v>
      </c>
      <c r="F47" s="1061" t="s">
        <v>846</v>
      </c>
      <c r="G47" s="929"/>
      <c r="O47" s="898">
        <v>78</v>
      </c>
      <c r="P47" s="898">
        <v>2</v>
      </c>
      <c r="Q47" s="898" t="str">
        <f>B47</f>
        <v>F16K</v>
      </c>
      <c r="R47" s="930">
        <f>IF(ISNUMBER(C47),ROUND(C47,0),0)</f>
        <v>0</v>
      </c>
      <c r="S47" s="898"/>
      <c r="T47" s="898">
        <v>78</v>
      </c>
      <c r="U47" s="898">
        <v>61</v>
      </c>
      <c r="V47" s="898" t="str">
        <f>F47</f>
        <v>U06B</v>
      </c>
      <c r="W47" s="930">
        <f>IF(ISNUMBER(G47),ROUND(G47,0),0)</f>
        <v>0</v>
      </c>
    </row>
    <row r="48" spans="1:23" ht="17.100000000000001" customHeight="1" thickBot="1" x14ac:dyDescent="0.25">
      <c r="A48" s="999" t="s">
        <v>851</v>
      </c>
      <c r="B48" s="1062"/>
      <c r="C48" s="1048">
        <f>SUM(C47:C47)</f>
        <v>0</v>
      </c>
      <c r="D48" s="1019"/>
      <c r="E48" s="939" t="s">
        <v>843</v>
      </c>
      <c r="F48" s="1083"/>
      <c r="G48" s="989">
        <f>SUM(G47:G47)</f>
        <v>0</v>
      </c>
      <c r="P48" s="898"/>
      <c r="Q48" s="898"/>
      <c r="R48" s="930"/>
      <c r="S48" s="898"/>
      <c r="T48" s="898" t="s">
        <v>531</v>
      </c>
      <c r="U48" s="898"/>
      <c r="V48" s="898"/>
      <c r="W48" s="898"/>
    </row>
    <row r="49" spans="1:19" ht="17.25" customHeight="1" thickBot="1" x14ac:dyDescent="0.25">
      <c r="A49" s="1084" t="s">
        <v>713</v>
      </c>
      <c r="B49" s="1085"/>
      <c r="C49" s="1086"/>
      <c r="D49" s="1019"/>
      <c r="E49" s="1014" t="s">
        <v>847</v>
      </c>
      <c r="F49" s="1087"/>
      <c r="G49" s="1088">
        <f>G48</f>
        <v>0</v>
      </c>
      <c r="O49" s="898"/>
      <c r="P49" s="898"/>
      <c r="Q49" s="898"/>
      <c r="R49" s="930"/>
      <c r="S49" s="898" t="str">
        <f>VLOOKUP(O50,$Q:$R,2,FALSE)</f>
        <v>NO</v>
      </c>
    </row>
    <row r="50" spans="1:19" ht="17.25" customHeight="1" x14ac:dyDescent="0.2">
      <c r="A50" s="887" t="s">
        <v>1116</v>
      </c>
      <c r="B50" s="951" t="s">
        <v>1006</v>
      </c>
      <c r="C50" s="929"/>
      <c r="D50" s="1019"/>
      <c r="E50" s="1066"/>
      <c r="F50" s="1067"/>
      <c r="G50" s="1068"/>
      <c r="O50" s="898">
        <v>78</v>
      </c>
      <c r="P50" s="898">
        <v>81</v>
      </c>
      <c r="Q50" s="898" t="str">
        <f>B50</f>
        <v>F20Z</v>
      </c>
      <c r="R50" s="930">
        <f>IF(ISNUMBER(C50),ROUND(C50,0),0)</f>
        <v>0</v>
      </c>
    </row>
    <row r="51" spans="1:19" ht="17.25" customHeight="1" thickBot="1" x14ac:dyDescent="0.25">
      <c r="A51" s="1006" t="s">
        <v>717</v>
      </c>
      <c r="B51" s="1089"/>
      <c r="C51" s="1090">
        <f>SUM(C50:C50)</f>
        <v>0</v>
      </c>
      <c r="D51" s="1080"/>
      <c r="E51" s="1066"/>
      <c r="F51" s="1067"/>
      <c r="G51" s="1068"/>
      <c r="O51" s="898" t="s">
        <v>531</v>
      </c>
    </row>
    <row r="52" spans="1:19" ht="17.25" customHeight="1" thickBot="1" x14ac:dyDescent="0.25">
      <c r="A52" s="1014" t="s">
        <v>847</v>
      </c>
      <c r="B52" s="1032"/>
      <c r="C52" s="1033">
        <f>C48-C51</f>
        <v>0</v>
      </c>
      <c r="D52" s="1034"/>
      <c r="E52" s="1066"/>
      <c r="F52" s="1067"/>
      <c r="G52" s="1068"/>
    </row>
    <row r="53" spans="1:19" ht="17.25" customHeight="1" thickBot="1" x14ac:dyDescent="0.25">
      <c r="A53" s="983" t="s">
        <v>900</v>
      </c>
      <c r="B53" s="1010"/>
      <c r="C53" s="1037">
        <f>C44+C52</f>
        <v>0</v>
      </c>
      <c r="D53" s="1030"/>
      <c r="E53" s="985" t="s">
        <v>901</v>
      </c>
      <c r="F53" s="1091"/>
      <c r="G53" s="992">
        <f>G24+G49</f>
        <v>0</v>
      </c>
    </row>
    <row r="54" spans="1:19" ht="4.9000000000000004" customHeight="1" x14ac:dyDescent="0.2"/>
    <row r="55" spans="1:19" ht="12.6" customHeight="1" x14ac:dyDescent="0.2">
      <c r="A55" s="821" t="s">
        <v>993</v>
      </c>
    </row>
    <row r="56" spans="1:19" ht="12.6" customHeight="1" x14ac:dyDescent="0.2">
      <c r="A56" s="821" t="s">
        <v>1117</v>
      </c>
    </row>
    <row r="57" spans="1:19" ht="10.5" customHeight="1" x14ac:dyDescent="0.2">
      <c r="A57" s="821" t="s">
        <v>1118</v>
      </c>
    </row>
    <row r="58" spans="1:19" ht="12.6" customHeight="1" x14ac:dyDescent="0.2">
      <c r="A58" s="821" t="s">
        <v>1119</v>
      </c>
    </row>
    <row r="59" spans="1:19" ht="12.6" customHeight="1" x14ac:dyDescent="0.2">
      <c r="A59" s="821" t="s">
        <v>1120</v>
      </c>
    </row>
    <row r="60" spans="1:19" ht="12.6" customHeight="1" x14ac:dyDescent="0.2">
      <c r="A60" s="821" t="s">
        <v>1121</v>
      </c>
    </row>
    <row r="61" spans="1:19" ht="12.6" customHeight="1" x14ac:dyDescent="0.2">
      <c r="A61" s="821" t="s">
        <v>1122</v>
      </c>
    </row>
    <row r="62" spans="1:19" ht="12.6" customHeight="1" x14ac:dyDescent="0.2">
      <c r="A62" s="821" t="s">
        <v>1123</v>
      </c>
    </row>
  </sheetData>
  <sheetProtection algorithmName="SHA-512" hashValue="lxX1JghK84y8FJ13gJLS2hiP9HK+WCJYIermKVzM4lm7zvE1Pd/NMYU9n8uuC+SkXtLTAX3rPRlitLMcyU9lfg==" saltValue="PZqxY1gwq4lF59is6nHWxw==" spinCount="100000" sheet="1" formatColumns="0" selectLockedCells="1"/>
  <mergeCells count="3">
    <mergeCell ref="H6:H11"/>
    <mergeCell ref="H13:H14"/>
    <mergeCell ref="H21:H24"/>
  </mergeCells>
  <dataValidations count="2">
    <dataValidation type="whole" allowBlank="1" showInputMessage="1" showErrorMessage="1" errorTitle="ERRORE NEL DATO IMMESSO" error="INSERIRE SOLO NUMERI INTERI" sqref="C38:C42 G47 C22:C35 C9:C19 G9:G22" xr:uid="{42B126E0-60D9-4FD5-B876-BAE03F8EA17C}">
      <formula1>0</formula1>
      <formula2>999999999999</formula2>
    </dataValidation>
    <dataValidation type="whole" allowBlank="1" showInputMessage="1" showErrorMessage="1" errorTitle="ERRORE NEL DATO IMMESSO" error="INSERIRE SOLO NUMERI INTERI" sqref="C20 C36:C37 G48:G52 G23:G45 C43:C52" xr:uid="{B6797638-AC30-4A8A-9722-96CDD2E37209}">
      <formula1>-999999999999</formula1>
      <formula2>999999999999</formula2>
    </dataValidation>
  </dataValidations>
  <printOptions horizontalCentered="1"/>
  <pageMargins left="0.39370078740157483" right="0.39370078740157483" top="0.78740157480314965" bottom="0.39370078740157483" header="0.51181102362204722" footer="0.15748031496062992"/>
  <pageSetup paperSize="9" scale="61" orientation="portrait" horizontalDpi="300" verticalDpi="4294967292"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P72"/>
  <sheetViews>
    <sheetView showGridLines="0" zoomScale="80" zoomScaleNormal="80" workbookViewId="0">
      <selection activeCell="F13" sqref="F13"/>
    </sheetView>
  </sheetViews>
  <sheetFormatPr defaultColWidth="12.6640625" defaultRowHeight="15" x14ac:dyDescent="0.2"/>
  <cols>
    <col min="1" max="1" width="10.6640625" style="790" customWidth="1"/>
    <col min="2" max="2" width="8.6640625" style="790" customWidth="1"/>
    <col min="3" max="3" width="2.6640625" style="767" customWidth="1"/>
    <col min="4" max="4" width="180.6640625" style="767" customWidth="1"/>
    <col min="5" max="5" width="2.6640625" style="767" customWidth="1"/>
    <col min="6" max="6" width="20.6640625" style="791" customWidth="1"/>
    <col min="7" max="7" width="50.6640625" style="766" customWidth="1"/>
    <col min="8" max="10" width="12.6640625" style="767" customWidth="1"/>
    <col min="11" max="13" width="12.6640625" style="767" hidden="1" customWidth="1"/>
    <col min="14" max="14" width="15.6640625" style="767" hidden="1" customWidth="1"/>
    <col min="15" max="16" width="12.6640625" style="767" customWidth="1"/>
    <col min="17" max="16384" width="12.6640625" style="767"/>
  </cols>
  <sheetData>
    <row r="1" spans="1:16" s="1096" customFormat="1" ht="35.1" customHeight="1" thickBot="1" x14ac:dyDescent="0.2">
      <c r="A1" s="1092"/>
      <c r="B1" s="1092"/>
      <c r="C1" s="1093"/>
      <c r="D1" s="1093"/>
      <c r="E1" s="1094"/>
      <c r="F1" s="1094"/>
      <c r="G1" s="907" t="s">
        <v>852</v>
      </c>
      <c r="H1" s="1095" t="s">
        <v>473</v>
      </c>
    </row>
    <row r="2" spans="1:16" s="1096" customFormat="1" ht="35.1" customHeight="1" x14ac:dyDescent="0.35">
      <c r="A2" s="1097" t="s">
        <v>643</v>
      </c>
      <c r="B2" s="1097"/>
      <c r="C2" s="1098"/>
      <c r="D2" s="1098"/>
      <c r="E2" s="1098"/>
      <c r="F2" s="1099"/>
      <c r="G2" s="1549" t="str">
        <f>IF(AND(ISBLANK($F$19),SUM('t15(1)'!$W:$W)+SUM('t15(1)'!$R:$R)&gt;0),"Attenzione: è necessario compilare la domanda LEG428 !!!","OK")</f>
        <v>OK</v>
      </c>
    </row>
    <row r="3" spans="1:16" s="1103" customFormat="1" ht="35.1" customHeight="1" thickBot="1" x14ac:dyDescent="0.4">
      <c r="A3" s="1097" t="s">
        <v>644</v>
      </c>
      <c r="B3" s="1097"/>
      <c r="C3" s="1100"/>
      <c r="D3" s="1100"/>
      <c r="E3" s="1101"/>
      <c r="F3" s="1102"/>
      <c r="G3" s="1553"/>
      <c r="K3" s="1104"/>
    </row>
    <row r="4" spans="1:16" s="1096" customFormat="1" ht="35.1" customHeight="1" thickBot="1" x14ac:dyDescent="0.2">
      <c r="A4" s="1105"/>
      <c r="B4" s="1106"/>
      <c r="C4" s="1107"/>
      <c r="D4" s="1107"/>
      <c r="E4" s="1108"/>
      <c r="F4" s="1109"/>
      <c r="G4" s="1110" t="s">
        <v>645</v>
      </c>
      <c r="K4" s="1104"/>
    </row>
    <row r="5" spans="1:16" s="1111" customFormat="1" ht="35.1" customHeight="1" x14ac:dyDescent="0.15">
      <c r="G5" s="1561" t="str">
        <f>IF(AND(ISBLANK(F13),),"OK",IF(AND(OR(ISBLANK(F13),YEAR(F13)&gt;'t1'!L1-1)),"OK","Attenzione: almeno una data di certificazione è antececedente l'anno "&amp;'t1'!L1&amp;", è necessario giustificare"))</f>
        <v>OK</v>
      </c>
    </row>
    <row r="6" spans="1:16" s="1111" customFormat="1" ht="35.1" customHeight="1" thickBot="1" x14ac:dyDescent="0.2">
      <c r="A6" s="1112" t="str">
        <f>'t1'!$A$1</f>
        <v>ENTI PUBBLICI NON ECONOMICI - anno 2024</v>
      </c>
      <c r="B6" s="1112"/>
      <c r="C6" s="1113"/>
      <c r="D6" s="1114"/>
      <c r="E6" s="1113"/>
      <c r="F6" s="1113"/>
      <c r="G6" s="1562"/>
    </row>
    <row r="7" spans="1:16" s="1111" customFormat="1" ht="35.1" customHeight="1" x14ac:dyDescent="0.15">
      <c r="A7" s="1115"/>
      <c r="B7" s="1115"/>
      <c r="D7" s="1116" t="s">
        <v>853</v>
      </c>
      <c r="G7" s="776"/>
      <c r="N7" s="765" t="s">
        <v>647</v>
      </c>
    </row>
    <row r="8" spans="1:16" s="1111" customFormat="1" ht="15" customHeight="1" x14ac:dyDescent="0.15">
      <c r="A8" s="1115"/>
      <c r="B8" s="1115"/>
      <c r="D8" s="1117"/>
      <c r="G8" s="776"/>
      <c r="N8" s="1118">
        <f>(COUNTIF(F:F,"&lt;&gt;"&amp;"")+COUNTIF(D68,"&lt;&gt;"&amp;"")+COUNTIF(D71,"&lt;&gt;"&amp;""))</f>
        <v>0</v>
      </c>
    </row>
    <row r="9" spans="1:16" s="1111" customFormat="1" ht="10.35" customHeight="1" x14ac:dyDescent="0.15">
      <c r="A9" s="1115"/>
      <c r="B9" s="1115"/>
      <c r="D9" s="1117"/>
      <c r="G9" s="776"/>
      <c r="N9" s="765"/>
    </row>
    <row r="10" spans="1:16" ht="10.35" customHeight="1" x14ac:dyDescent="0.2">
      <c r="A10" s="1119"/>
      <c r="B10" s="1119"/>
      <c r="D10" s="1120"/>
      <c r="E10" s="1119"/>
      <c r="F10" s="776"/>
      <c r="G10" s="776"/>
      <c r="H10" s="776"/>
    </row>
    <row r="11" spans="1:16" s="769" customFormat="1" ht="35.1" customHeight="1" x14ac:dyDescent="0.15">
      <c r="A11" s="1121" t="s">
        <v>648</v>
      </c>
      <c r="B11" s="1121"/>
      <c r="C11" s="1122"/>
      <c r="D11" s="1122" t="s">
        <v>649</v>
      </c>
      <c r="E11" s="1121"/>
      <c r="F11" s="1123"/>
      <c r="K11" s="765" t="s">
        <v>650</v>
      </c>
      <c r="L11" s="765" t="s">
        <v>651</v>
      </c>
      <c r="M11" s="765" t="s">
        <v>652</v>
      </c>
      <c r="N11" s="765" t="s">
        <v>639</v>
      </c>
    </row>
    <row r="12" spans="1:16" s="769" customFormat="1" ht="4.3499999999999996" customHeight="1" x14ac:dyDescent="0.15">
      <c r="A12" s="770"/>
      <c r="B12" s="770"/>
      <c r="D12" s="770"/>
      <c r="E12" s="770"/>
      <c r="F12" s="771"/>
      <c r="G12" s="768"/>
      <c r="K12" s="772"/>
      <c r="L12" s="772"/>
      <c r="M12" s="772"/>
      <c r="N12" s="772"/>
    </row>
    <row r="13" spans="1:16" s="769" customFormat="1" ht="30" customHeight="1" x14ac:dyDescent="0.15">
      <c r="A13" s="828" t="s">
        <v>854</v>
      </c>
      <c r="B13" s="830" t="s">
        <v>654</v>
      </c>
      <c r="C13" s="875"/>
      <c r="D13" s="806" t="s">
        <v>855</v>
      </c>
      <c r="E13" s="851"/>
      <c r="F13" s="778"/>
      <c r="G13" s="1124" t="str">
        <f ca="1">IF(AND(ISBLANK(F13),C13="x",$N$8&gt;0),"Attenzione: domanda a risposta obbligatoria",IF(ISBLANK(F13),"",IF(AND(F13&gt;=DATE('t1'!$L$1-2,1,1),F13&lt;=TODAY()),"","Digitare una data non anteriore al 1 Gennaio "&amp;'t1'!$L$1-1&amp;" (gg/mm/aaaa)")))</f>
        <v/>
      </c>
      <c r="K13" s="775" t="str">
        <f>LEFT(A13,3)</f>
        <v>GEN</v>
      </c>
      <c r="L13" s="775" t="str">
        <f>RIGHT(A13,3)</f>
        <v>196</v>
      </c>
      <c r="M13" s="775" t="str">
        <f>B13</f>
        <v>DATE</v>
      </c>
      <c r="N13" s="1125" t="str">
        <f ca="1">IF(AND(F13&gt;=DATE('t1'!$L$1-1,1,1),F13&lt;=TODAY()),"'"&amp;DAY(F13)&amp;"/"&amp;MONTH(F13)&amp;"/"&amp;YEAR(F13),"")</f>
        <v/>
      </c>
      <c r="P13" s="779"/>
    </row>
    <row r="14" spans="1:16" s="769" customFormat="1" ht="4.3499999999999996" customHeight="1" x14ac:dyDescent="0.15">
      <c r="A14" s="773"/>
      <c r="B14" s="773"/>
      <c r="C14" s="875"/>
      <c r="D14" s="852"/>
      <c r="E14" s="770"/>
      <c r="F14" s="776"/>
      <c r="G14" s="777"/>
      <c r="N14" s="781"/>
    </row>
    <row r="15" spans="1:16" s="769" customFormat="1" ht="30" customHeight="1" x14ac:dyDescent="0.15">
      <c r="A15" s="833" t="s">
        <v>655</v>
      </c>
      <c r="B15" s="834" t="s">
        <v>656</v>
      </c>
      <c r="C15" s="875" t="s">
        <v>910</v>
      </c>
      <c r="D15" s="829" t="s">
        <v>657</v>
      </c>
      <c r="E15" s="831"/>
      <c r="F15" s="835"/>
      <c r="G15" s="1124" t="str">
        <f>IF(AND(ISBLANK(F15),C15="x",$N$8&gt;0),"Attenzione: domanda a risposta obbligatoria",IF(AND(SUM(F9:F13)&gt;0,G1="ok",F15&gt;0),"Attenzione, dato incoerente",IF(ISBLANK(F15),"",IF(ISNUMBER(F15),IF(F15-INT(F15)=0,"","  Errore ! Inserire un numero intero senza decimali"),"  Errore ! Inserire un numero intero senza decimali"))))</f>
        <v/>
      </c>
      <c r="K15" s="775" t="str">
        <f>LEFT(A15,3)</f>
        <v>GEN</v>
      </c>
      <c r="L15" s="775" t="str">
        <f>RIGHT(A15,3)</f>
        <v>195</v>
      </c>
      <c r="M15" s="775" t="str">
        <f>B15</f>
        <v>INT</v>
      </c>
      <c r="N15" s="775" t="str">
        <f>IF(ISNUMBER(F15),ROUND(F15,0),"")</f>
        <v/>
      </c>
    </row>
    <row r="16" spans="1:16" s="769" customFormat="1" ht="4.3499999999999996" customHeight="1" x14ac:dyDescent="0.15">
      <c r="A16" s="780"/>
      <c r="B16" s="780"/>
      <c r="C16" s="875"/>
      <c r="D16" s="770"/>
      <c r="E16" s="770"/>
      <c r="F16" s="771"/>
      <c r="G16" s="777"/>
    </row>
    <row r="17" spans="1:14" s="769" customFormat="1" ht="30" customHeight="1" x14ac:dyDescent="0.15">
      <c r="A17" s="1121" t="s">
        <v>658</v>
      </c>
      <c r="B17" s="1121"/>
      <c r="C17" s="1126"/>
      <c r="D17" s="1122" t="s">
        <v>753</v>
      </c>
      <c r="E17" s="1121"/>
      <c r="F17" s="1123"/>
      <c r="G17" s="777"/>
    </row>
    <row r="18" spans="1:14" s="831" customFormat="1" ht="4.3499999999999996" customHeight="1" x14ac:dyDescent="0.15">
      <c r="A18" s="842"/>
      <c r="B18" s="842"/>
      <c r="C18" s="876"/>
      <c r="D18" s="842"/>
      <c r="E18" s="842"/>
      <c r="F18" s="843"/>
      <c r="G18" s="844"/>
      <c r="I18" s="1127"/>
      <c r="J18" s="845"/>
    </row>
    <row r="19" spans="1:14" s="781" customFormat="1" ht="30" customHeight="1" x14ac:dyDescent="0.15">
      <c r="A19" s="828" t="s">
        <v>856</v>
      </c>
      <c r="B19" s="830" t="s">
        <v>656</v>
      </c>
      <c r="C19" s="877" t="s">
        <v>910</v>
      </c>
      <c r="D19" s="829" t="s">
        <v>857</v>
      </c>
      <c r="F19" s="1128"/>
      <c r="G19" s="788" t="str">
        <f>IF(AND(ISBLANK(F19),C19="x",$N$8&gt;0),"Attenzione: domanda a risposta obbligatoria",IF(ISBLANK(F19),"",IF(ISNUMBER(F19),IF(F19-INT(F19)=0,"","  Errore ! Inserire un numero intero senza decimali"),"  Errore ! Inserire un numero intero senza decimali")))</f>
        <v/>
      </c>
      <c r="K19" s="782" t="str">
        <f>LEFT(A19,3)</f>
        <v>LEG</v>
      </c>
      <c r="L19" s="782" t="str">
        <f>RIGHT(A19,3)</f>
        <v>428</v>
      </c>
      <c r="M19" s="782" t="str">
        <f>B19</f>
        <v>INT</v>
      </c>
      <c r="N19" s="782" t="str">
        <f>IF(ISNUMBER(F19),ROUND(F19,0),"")</f>
        <v/>
      </c>
    </row>
    <row r="20" spans="1:14" s="832" customFormat="1" ht="4.3499999999999996" customHeight="1" x14ac:dyDescent="0.15">
      <c r="A20" s="828"/>
      <c r="B20" s="1129"/>
      <c r="C20" s="1130"/>
      <c r="D20" s="1131"/>
      <c r="E20" s="1132"/>
      <c r="F20" s="1133"/>
      <c r="G20" s="803"/>
      <c r="I20" s="1134"/>
      <c r="J20" s="1135"/>
    </row>
    <row r="21" spans="1:14" s="781" customFormat="1" ht="30" customHeight="1" x14ac:dyDescent="0.15">
      <c r="A21" s="805" t="s">
        <v>825</v>
      </c>
      <c r="B21" s="841" t="s">
        <v>656</v>
      </c>
      <c r="C21" s="877"/>
      <c r="D21" s="863" t="s">
        <v>911</v>
      </c>
      <c r="E21" s="1136"/>
      <c r="F21" s="1137"/>
      <c r="G21" s="788" t="str">
        <f>IF(AND(ISBLANK(F21),C21="x",$N$8&gt;0),"Attenzione: domanda a risposta obbligatoria",IF(ISBLANK(F21),"",IF(ISNUMBER(F21),IF(F21-INT(F21)=0,"","  Errore ! Inserire un numero intero senza decimali"),"  Errore ! Inserire un numero intero senza decimali")))</f>
        <v/>
      </c>
      <c r="K21" s="782" t="str">
        <f>LEFT(A21,3)</f>
        <v>LEG</v>
      </c>
      <c r="L21" s="782" t="str">
        <f>RIGHT(A21,3)</f>
        <v>398</v>
      </c>
      <c r="M21" s="782" t="str">
        <f>B21</f>
        <v>INT</v>
      </c>
      <c r="N21" s="782" t="str">
        <f>IF(ISNUMBER(F21),ROUND(F21,0),"")</f>
        <v/>
      </c>
    </row>
    <row r="22" spans="1:14" s="781" customFormat="1" ht="4.3499999999999996" customHeight="1" x14ac:dyDescent="0.15">
      <c r="A22" s="773"/>
      <c r="B22" s="773"/>
      <c r="C22" s="877"/>
      <c r="D22" s="770"/>
      <c r="E22" s="770"/>
      <c r="F22" s="776"/>
      <c r="G22" s="777"/>
    </row>
    <row r="23" spans="1:14" s="769" customFormat="1" ht="30" customHeight="1" x14ac:dyDescent="0.15">
      <c r="A23" s="1121" t="s">
        <v>659</v>
      </c>
      <c r="B23" s="1121"/>
      <c r="C23" s="1126"/>
      <c r="D23" s="1122" t="s">
        <v>660</v>
      </c>
      <c r="E23" s="1121"/>
      <c r="F23" s="1123"/>
      <c r="G23" s="1124"/>
      <c r="K23" s="775"/>
      <c r="L23" s="775"/>
      <c r="M23" s="775"/>
      <c r="N23" s="775"/>
    </row>
    <row r="24" spans="1:14" s="769" customFormat="1" ht="4.3499999999999996" customHeight="1" x14ac:dyDescent="0.15">
      <c r="A24" s="770"/>
      <c r="B24" s="770"/>
      <c r="C24" s="875"/>
      <c r="D24" s="770"/>
      <c r="E24" s="770"/>
      <c r="F24" s="771"/>
      <c r="G24" s="777"/>
    </row>
    <row r="25" spans="1:14" s="769" customFormat="1" ht="30" customHeight="1" x14ac:dyDescent="0.15">
      <c r="A25" s="783" t="s">
        <v>858</v>
      </c>
      <c r="B25" s="862" t="s">
        <v>656</v>
      </c>
      <c r="C25" s="875"/>
      <c r="D25" s="863" t="s">
        <v>859</v>
      </c>
      <c r="F25" s="1138"/>
      <c r="G25" s="788" t="str">
        <f>IF(AND(ISBLANK(F25),C25="x",$N$8&gt;0),"Attenzione: domanda a risposta obbligatoria",IF(ISBLANK(F25),"",IF(ISNUMBER(F25),IF(F25-INT(F25)=0,"","  Errore ! Inserire un numero intero senza decimali"),"  Errore ! Inserire un numero intero senza decimali")))</f>
        <v/>
      </c>
      <c r="K25" s="775" t="str">
        <f>LEFT(A25,3)</f>
        <v>ORG</v>
      </c>
      <c r="L25" s="775" t="str">
        <f>RIGHT(A25,3)</f>
        <v>431</v>
      </c>
      <c r="M25" s="775" t="str">
        <f>B25</f>
        <v>INT</v>
      </c>
      <c r="N25" s="775" t="str">
        <f>IF(ISNUMBER(F25),ROUND(F25,0),"")</f>
        <v/>
      </c>
    </row>
    <row r="26" spans="1:14" s="769" customFormat="1" ht="4.3499999999999996" customHeight="1" x14ac:dyDescent="0.15">
      <c r="A26" s="784"/>
      <c r="B26" s="784"/>
      <c r="C26" s="875"/>
      <c r="D26" s="770"/>
      <c r="E26" s="770"/>
      <c r="F26" s="771"/>
      <c r="G26" s="777"/>
    </row>
    <row r="27" spans="1:14" s="769" customFormat="1" ht="30" customHeight="1" x14ac:dyDescent="0.15">
      <c r="A27" s="805" t="s">
        <v>663</v>
      </c>
      <c r="B27" s="800" t="s">
        <v>656</v>
      </c>
      <c r="C27" s="877"/>
      <c r="D27" s="795" t="s">
        <v>664</v>
      </c>
      <c r="E27" s="781"/>
      <c r="F27" s="1128"/>
      <c r="G27" s="788" t="str">
        <f>IF(AND(ISBLANK(F27),C27="x",$N$8&gt;0),"Attenzione: domanda a risposta obbligatoria",IF(ISBLANK(F27),"",IF(ISNUMBER(F27),IF(F27-INT(F27)=0,"","  Errore ! Inserire un numero intero senza decimali"),"  Errore ! Inserire un numero intero senza decimali")))</f>
        <v/>
      </c>
      <c r="H27" s="781"/>
      <c r="I27" s="781"/>
      <c r="J27" s="781"/>
      <c r="K27" s="782" t="str">
        <f>LEFT(A27,3)</f>
        <v>ORG</v>
      </c>
      <c r="L27" s="782" t="str">
        <f>RIGHT(A27,3)</f>
        <v>268</v>
      </c>
      <c r="M27" s="782" t="str">
        <f>B27</f>
        <v>INT</v>
      </c>
      <c r="N27" s="782" t="str">
        <f>IF(ISNUMBER(F27),ROUND(F27,0),"")</f>
        <v/>
      </c>
    </row>
    <row r="28" spans="1:14" s="769" customFormat="1" ht="4.3499999999999996" customHeight="1" x14ac:dyDescent="0.15">
      <c r="A28" s="808"/>
      <c r="B28" s="1139"/>
      <c r="C28" s="877"/>
      <c r="D28" s="796"/>
      <c r="E28" s="796"/>
      <c r="F28" s="802"/>
      <c r="G28" s="803"/>
      <c r="H28" s="781"/>
      <c r="I28" s="1140"/>
      <c r="J28" s="810"/>
      <c r="K28" s="781"/>
      <c r="L28" s="781"/>
      <c r="M28" s="781"/>
      <c r="N28" s="781"/>
    </row>
    <row r="29" spans="1:14" s="769" customFormat="1" ht="30" customHeight="1" x14ac:dyDescent="0.15">
      <c r="A29" s="805" t="s">
        <v>669</v>
      </c>
      <c r="B29" s="800" t="s">
        <v>656</v>
      </c>
      <c r="C29" s="877"/>
      <c r="D29" s="1141" t="s">
        <v>800</v>
      </c>
      <c r="E29" s="781"/>
      <c r="F29" s="1128"/>
      <c r="G29" s="788" t="str">
        <f>IF(AND(ISBLANK(F29),C29="x",$N$8&gt;0),"Attenzione: domanda a risposta obbligatoria",IF(ISBLANK(F29),"",IF(ISNUMBER(F29),IF(F29-INT(F29)=0,"","  Errore ! Inserire un numero intero senza decimali"),"  Errore ! Inserire un numero intero senza decimali")))</f>
        <v/>
      </c>
      <c r="H29" s="781"/>
      <c r="I29" s="781"/>
      <c r="J29" s="781"/>
      <c r="K29" s="782" t="str">
        <f>LEFT(A31,3)</f>
        <v>ORG</v>
      </c>
      <c r="L29" s="782" t="str">
        <f>RIGHT(A29,3)</f>
        <v>136</v>
      </c>
      <c r="M29" s="782" t="str">
        <f>B31</f>
        <v>INT</v>
      </c>
      <c r="N29" s="782" t="str">
        <f>IF(ISNUMBER(F29),ROUND(F29,0),"")</f>
        <v/>
      </c>
    </row>
    <row r="30" spans="1:14" s="769" customFormat="1" ht="4.3499999999999996" customHeight="1" x14ac:dyDescent="0.15">
      <c r="A30" s="805"/>
      <c r="B30" s="1139"/>
      <c r="C30" s="877"/>
      <c r="D30" s="796"/>
      <c r="E30" s="796"/>
      <c r="F30" s="802"/>
      <c r="G30" s="803"/>
      <c r="H30" s="781"/>
      <c r="I30" s="1140"/>
      <c r="J30" s="810"/>
      <c r="K30" s="781"/>
      <c r="L30" s="781"/>
      <c r="M30" s="781"/>
      <c r="N30" s="781"/>
    </row>
    <row r="31" spans="1:14" s="769" customFormat="1" ht="30" customHeight="1" x14ac:dyDescent="0.15">
      <c r="A31" s="805" t="s">
        <v>665</v>
      </c>
      <c r="B31" s="800" t="s">
        <v>656</v>
      </c>
      <c r="C31" s="877"/>
      <c r="D31" s="795" t="s">
        <v>666</v>
      </c>
      <c r="E31" s="781"/>
      <c r="F31" s="1128"/>
      <c r="G31" s="788" t="str">
        <f>IF(AND(ISBLANK(F31),C31="x",$N$8&gt;0),"Attenzione: domanda a risposta obbligatoria",IF(ISBLANK(F31),"",IF(ISNUMBER(F31),IF(F31-INT(F31)=0,"","  Errore ! Inserire un numero intero senza decimali"),"  Errore ! Inserire un numero intero senza decimali")))</f>
        <v/>
      </c>
      <c r="H31" s="781"/>
      <c r="I31" s="781"/>
      <c r="J31" s="781"/>
      <c r="K31" s="782" t="str">
        <f>LEFT(A35,3)</f>
        <v>ORG</v>
      </c>
      <c r="L31" s="782" t="str">
        <f>RIGHT(A31,3)</f>
        <v>269</v>
      </c>
      <c r="M31" s="782" t="str">
        <f>B35</f>
        <v>INT</v>
      </c>
      <c r="N31" s="782" t="str">
        <f>IF(ISNUMBER(F31),ROUND(F31,0),"")</f>
        <v/>
      </c>
    </row>
    <row r="32" spans="1:14" s="769" customFormat="1" ht="4.3499999999999996" customHeight="1" x14ac:dyDescent="0.15">
      <c r="A32" s="805"/>
      <c r="B32" s="1139"/>
      <c r="C32" s="877"/>
      <c r="D32" s="796"/>
      <c r="E32" s="796"/>
      <c r="F32" s="802"/>
      <c r="G32" s="803"/>
      <c r="H32" s="781"/>
      <c r="I32" s="1140"/>
      <c r="J32" s="810"/>
      <c r="K32" s="781"/>
      <c r="L32" s="781"/>
      <c r="M32" s="781"/>
      <c r="N32" s="781"/>
    </row>
    <row r="33" spans="1:14" s="769" customFormat="1" ht="30" customHeight="1" x14ac:dyDescent="0.15">
      <c r="A33" s="805" t="s">
        <v>670</v>
      </c>
      <c r="B33" s="800" t="s">
        <v>656</v>
      </c>
      <c r="C33" s="877"/>
      <c r="D33" s="1141" t="s">
        <v>1008</v>
      </c>
      <c r="E33" s="781"/>
      <c r="F33" s="1128"/>
      <c r="G33" s="788" t="str">
        <f>IF(AND(ISBLANK(F33),C33="x",$N$8&gt;0),"Attenzione: domanda a risposta obbligatoria",IF(ISBLANK(F33),"",IF(ISNUMBER(F33),IF(F33-INT(F33)=0,"","  Errore ! Inserire un numero intero senza decimali"),"  Errore ! Inserire un numero intero senza decimali")))</f>
        <v/>
      </c>
      <c r="H33" s="781"/>
      <c r="I33" s="781"/>
      <c r="J33" s="781"/>
      <c r="K33" s="782" t="str">
        <f>LEFT(A29,3)</f>
        <v>ORG</v>
      </c>
      <c r="L33" s="782" t="str">
        <f>RIGHT(A33,3)</f>
        <v>179</v>
      </c>
      <c r="M33" s="782" t="str">
        <f>B29</f>
        <v>INT</v>
      </c>
      <c r="N33" s="782" t="str">
        <f>IF(ISNUMBER(F33),ROUND(F33,0),"")</f>
        <v/>
      </c>
    </row>
    <row r="34" spans="1:14" s="769" customFormat="1" ht="4.3499999999999996" customHeight="1" x14ac:dyDescent="0.15">
      <c r="A34" s="805"/>
      <c r="B34" s="1139"/>
      <c r="C34" s="877"/>
      <c r="D34" s="1142"/>
      <c r="E34" s="796"/>
      <c r="F34" s="802"/>
      <c r="G34" s="803"/>
      <c r="H34" s="781"/>
      <c r="I34" s="1140"/>
      <c r="J34" s="810"/>
      <c r="K34" s="781"/>
      <c r="L34" s="781"/>
      <c r="M34" s="781"/>
      <c r="N34" s="781"/>
    </row>
    <row r="35" spans="1:14" s="769" customFormat="1" ht="30" customHeight="1" x14ac:dyDescent="0.15">
      <c r="A35" s="805" t="s">
        <v>667</v>
      </c>
      <c r="B35" s="800" t="s">
        <v>656</v>
      </c>
      <c r="C35" s="877"/>
      <c r="D35" s="795" t="s">
        <v>668</v>
      </c>
      <c r="E35" s="781"/>
      <c r="F35" s="1128"/>
      <c r="G35" s="788" t="str">
        <f>IF(AND(ISBLANK(F35),C35="x",$N$8&gt;0),"Attenzione: domanda a risposta obbligatoria",IF(ISBLANK(F35),"",IF(ISNUMBER(F35),IF(F35-INT(F35)=0,"","  Errore ! Inserire un numero intero senza decimali"),"  Errore ! Inserire un numero intero senza decimali")))</f>
        <v/>
      </c>
      <c r="H35" s="781"/>
      <c r="I35" s="781"/>
      <c r="J35" s="781"/>
      <c r="K35" s="782" t="str">
        <f>LEFT(A33,3)</f>
        <v>ORG</v>
      </c>
      <c r="L35" s="782" t="str">
        <f>RIGHT(A35,3)</f>
        <v>270</v>
      </c>
      <c r="M35" s="782" t="str">
        <f>B33</f>
        <v>INT</v>
      </c>
      <c r="N35" s="782" t="str">
        <f>IF(ISNUMBER(F35),ROUND(F35,0),"")</f>
        <v/>
      </c>
    </row>
    <row r="36" spans="1:14" s="769" customFormat="1" ht="4.3499999999999996" customHeight="1" x14ac:dyDescent="0.15">
      <c r="A36" s="805"/>
      <c r="B36" s="1139"/>
      <c r="C36" s="877"/>
      <c r="D36" s="1142"/>
      <c r="E36" s="796"/>
      <c r="F36" s="802"/>
      <c r="G36" s="803"/>
      <c r="H36" s="781"/>
      <c r="I36" s="1140"/>
      <c r="J36" s="810"/>
      <c r="K36" s="781"/>
      <c r="L36" s="781"/>
      <c r="M36" s="781"/>
      <c r="N36" s="781"/>
    </row>
    <row r="37" spans="1:14" s="769" customFormat="1" ht="30" customHeight="1" x14ac:dyDescent="0.15">
      <c r="A37" s="805" t="s">
        <v>671</v>
      </c>
      <c r="B37" s="800" t="s">
        <v>656</v>
      </c>
      <c r="C37" s="877"/>
      <c r="D37" s="1141" t="s">
        <v>801</v>
      </c>
      <c r="E37" s="781"/>
      <c r="F37" s="1128"/>
      <c r="G37" s="788" t="str">
        <f>IF(AND(ISBLANK(F37),C37="x",$N$8&gt;0),"Attenzione: domanda a risposta obbligatoria",IF(ISBLANK(F37),"",IF(ISNUMBER(F37),IF(F37-INT(F37)=0,"","  Errore ! Inserire un numero intero senza decimali"),"  Errore ! Inserire un numero intero senza decimali")))</f>
        <v/>
      </c>
      <c r="H37" s="781"/>
      <c r="I37" s="781"/>
      <c r="J37" s="781"/>
      <c r="K37" s="782" t="str">
        <f>LEFT(A37,3)</f>
        <v>ORG</v>
      </c>
      <c r="L37" s="782" t="str">
        <f>RIGHT(A37,3)</f>
        <v>161</v>
      </c>
      <c r="M37" s="782" t="str">
        <f>B37</f>
        <v>INT</v>
      </c>
      <c r="N37" s="782" t="str">
        <f>IF(ISNUMBER(F37),ROUND(F37,0),"")</f>
        <v/>
      </c>
    </row>
    <row r="38" spans="1:14" s="769" customFormat="1" ht="4.3499999999999996" customHeight="1" x14ac:dyDescent="0.15">
      <c r="A38" s="805"/>
      <c r="B38" s="1139"/>
      <c r="C38" s="877"/>
      <c r="D38" s="1142"/>
      <c r="E38" s="796"/>
      <c r="F38" s="802"/>
      <c r="G38" s="803"/>
      <c r="H38" s="781"/>
      <c r="I38" s="1140"/>
      <c r="J38" s="810"/>
      <c r="K38" s="781"/>
      <c r="L38" s="781"/>
      <c r="M38" s="781"/>
      <c r="N38" s="781"/>
    </row>
    <row r="39" spans="1:14" s="769" customFormat="1" ht="30" customHeight="1" x14ac:dyDescent="0.15">
      <c r="A39" s="805" t="s">
        <v>672</v>
      </c>
      <c r="B39" s="800" t="s">
        <v>656</v>
      </c>
      <c r="C39" s="877"/>
      <c r="D39" s="1141" t="s">
        <v>673</v>
      </c>
      <c r="E39" s="781"/>
      <c r="F39" s="1128"/>
      <c r="G39" s="788" t="str">
        <f>IF(AND(ISBLANK(F39),C39="x",$N$8&gt;0),"Attenzione: domanda a risposta obbligatoria",IF(ISBLANK(F39),"",IF(ISNUMBER(F39),IF(F39-INT(F39)=0,"","  Errore ! Inserire un numero intero senza decimali"),"  Errore ! Inserire un numero intero senza decimali")))</f>
        <v/>
      </c>
      <c r="H39" s="781"/>
      <c r="I39" s="781"/>
      <c r="J39" s="781"/>
      <c r="K39" s="782" t="str">
        <f>LEFT(A39,3)</f>
        <v>ORG</v>
      </c>
      <c r="L39" s="782" t="str">
        <f>RIGHT(A39,3)</f>
        <v>271</v>
      </c>
      <c r="M39" s="782" t="str">
        <f>B39</f>
        <v>INT</v>
      </c>
      <c r="N39" s="782" t="str">
        <f>IF(ISNUMBER(F39),ROUND(F39,0),"")</f>
        <v/>
      </c>
    </row>
    <row r="40" spans="1:14" s="769" customFormat="1" ht="4.3499999999999996" customHeight="1" x14ac:dyDescent="0.15">
      <c r="A40" s="805"/>
      <c r="B40" s="1139"/>
      <c r="C40" s="877"/>
      <c r="D40" s="1142"/>
      <c r="E40" s="796"/>
      <c r="F40" s="802"/>
      <c r="G40" s="803"/>
      <c r="H40" s="781"/>
      <c r="I40" s="1140"/>
      <c r="J40" s="810"/>
      <c r="K40" s="781"/>
      <c r="L40" s="781"/>
      <c r="M40" s="781"/>
      <c r="N40" s="781"/>
    </row>
    <row r="41" spans="1:14" s="769" customFormat="1" ht="30" customHeight="1" x14ac:dyDescent="0.15">
      <c r="A41" s="805" t="s">
        <v>674</v>
      </c>
      <c r="B41" s="800" t="s">
        <v>656</v>
      </c>
      <c r="C41" s="877"/>
      <c r="D41" s="1141" t="s">
        <v>802</v>
      </c>
      <c r="E41" s="781"/>
      <c r="F41" s="1128"/>
      <c r="G41" s="788" t="str">
        <f>IF(AND(ISBLANK(F41),C41="x",$N$8&gt;0),"Attenzione: domanda a risposta obbligatoria",IF(ISBLANK(F41),"",IF(ISNUMBER(F41),IF(F41-INT(F41)=0,"","  Errore ! Inserire un numero intero senza decimali"),"  Errore ! Inserire un numero intero senza decimali")))</f>
        <v/>
      </c>
      <c r="H41" s="781"/>
      <c r="I41" s="781"/>
      <c r="J41" s="781"/>
      <c r="K41" s="782" t="str">
        <f>LEFT(A41,3)</f>
        <v>ORG</v>
      </c>
      <c r="L41" s="782" t="str">
        <f>RIGHT(A41,3)</f>
        <v>272</v>
      </c>
      <c r="M41" s="782" t="str">
        <f>B41</f>
        <v>INT</v>
      </c>
      <c r="N41" s="782" t="str">
        <f>IF(ISNUMBER(F41),ROUND(F41,0),"")</f>
        <v/>
      </c>
    </row>
    <row r="42" spans="1:14" s="769" customFormat="1" ht="4.3499999999999996" customHeight="1" x14ac:dyDescent="0.15">
      <c r="A42" s="780"/>
      <c r="B42" s="780"/>
      <c r="C42" s="875"/>
      <c r="D42" s="770"/>
      <c r="E42" s="770"/>
      <c r="F42" s="771"/>
      <c r="G42" s="785"/>
      <c r="I42" s="1143"/>
      <c r="J42" s="786"/>
    </row>
    <row r="43" spans="1:14" s="769" customFormat="1" ht="30" customHeight="1" x14ac:dyDescent="0.15">
      <c r="A43" s="1121" t="s">
        <v>675</v>
      </c>
      <c r="B43" s="1121"/>
      <c r="C43" s="1126"/>
      <c r="D43" s="1122" t="s">
        <v>799</v>
      </c>
      <c r="E43" s="1121"/>
      <c r="F43" s="1123"/>
      <c r="G43" s="1124"/>
      <c r="K43" s="775"/>
      <c r="L43" s="775"/>
      <c r="M43" s="775"/>
      <c r="N43" s="775"/>
    </row>
    <row r="44" spans="1:14" s="769" customFormat="1" ht="4.3499999999999996" customHeight="1" x14ac:dyDescent="0.15">
      <c r="A44" s="770"/>
      <c r="B44" s="770"/>
      <c r="C44" s="875"/>
      <c r="D44" s="770"/>
      <c r="E44" s="770"/>
      <c r="F44" s="771"/>
      <c r="G44" s="785"/>
      <c r="I44" s="1143"/>
      <c r="J44" s="786"/>
    </row>
    <row r="45" spans="1:14" s="769" customFormat="1" ht="30" customHeight="1" x14ac:dyDescent="0.15">
      <c r="A45" s="783" t="s">
        <v>676</v>
      </c>
      <c r="B45" s="774" t="s">
        <v>656</v>
      </c>
      <c r="C45" s="875"/>
      <c r="D45" s="768" t="s">
        <v>803</v>
      </c>
      <c r="F45" s="1138"/>
      <c r="G45" s="788" t="str">
        <f>IF(AND(ISBLANK(F45),C45="x",$N$8&gt;0),"Attenzione: domanda a risposta obbligatoria",IF(ISBLANK(F45),"",IF(ISNUMBER(F45),IF(F45-INT(F45)=0,"","  Errore ! Inserire un numero intero senza decimali"),"  Errore ! Inserire un numero intero senza decimali")))</f>
        <v/>
      </c>
      <c r="K45" s="775" t="str">
        <f>LEFT(A45,3)</f>
        <v>PRD</v>
      </c>
      <c r="L45" s="775" t="str">
        <f>RIGHT(A45,3)</f>
        <v>137</v>
      </c>
      <c r="M45" s="775" t="str">
        <f>B45</f>
        <v>INT</v>
      </c>
      <c r="N45" s="775" t="str">
        <f>IF(ISNUMBER(F45),ROUND(F45,0),"")</f>
        <v/>
      </c>
    </row>
    <row r="46" spans="1:14" s="769" customFormat="1" ht="4.3499999999999996" customHeight="1" x14ac:dyDescent="0.15">
      <c r="A46" s="783"/>
      <c r="B46" s="783"/>
      <c r="C46" s="875"/>
      <c r="D46" s="770"/>
      <c r="E46" s="770"/>
      <c r="F46" s="771"/>
      <c r="G46" s="777"/>
    </row>
    <row r="47" spans="1:14" s="769" customFormat="1" ht="30" customHeight="1" x14ac:dyDescent="0.15">
      <c r="A47" s="783" t="s">
        <v>677</v>
      </c>
      <c r="B47" s="774" t="s">
        <v>656</v>
      </c>
      <c r="C47" s="875"/>
      <c r="D47" s="768" t="s">
        <v>804</v>
      </c>
      <c r="F47" s="1138"/>
      <c r="G47" s="788" t="str">
        <f>IF(AND(ISBLANK(F47),C47="x",$N$8&gt;0),"Attenzione: domanda a risposta obbligatoria",IF(ISBLANK(F47),"",IF(ISNUMBER(F47),IF(F47-INT(F47)=0,"","  Errore ! Inserire un numero intero senza decimali"),"  Errore ! Inserire un numero intero senza decimali")))</f>
        <v/>
      </c>
      <c r="K47" s="775" t="str">
        <f>LEFT(A47,3)</f>
        <v>PRD</v>
      </c>
      <c r="L47" s="775" t="str">
        <f>RIGHT(A47,3)</f>
        <v>115</v>
      </c>
      <c r="M47" s="775" t="str">
        <f>B47</f>
        <v>INT</v>
      </c>
      <c r="N47" s="775" t="str">
        <f>IF(ISNUMBER(F47),ROUND(F47,0),"")</f>
        <v/>
      </c>
    </row>
    <row r="48" spans="1:14" s="769" customFormat="1" ht="4.3499999999999996" customHeight="1" x14ac:dyDescent="0.15">
      <c r="A48" s="783"/>
      <c r="B48" s="783"/>
      <c r="C48" s="875"/>
      <c r="D48" s="770"/>
      <c r="E48" s="770"/>
      <c r="F48" s="771"/>
      <c r="G48" s="777"/>
    </row>
    <row r="49" spans="1:14" s="781" customFormat="1" ht="35.1" customHeight="1" x14ac:dyDescent="0.15">
      <c r="A49" s="1121" t="s">
        <v>1028</v>
      </c>
      <c r="B49" s="1121"/>
      <c r="C49" s="1126"/>
      <c r="D49" s="1122" t="s">
        <v>1029</v>
      </c>
      <c r="E49" s="1121"/>
      <c r="F49" s="1123"/>
      <c r="G49" s="788" t="str">
        <f>IF(AND(LEN(F49)=1,OR(UPPER(F49)="N",UPPER(F49)="S")),"",IF(ISBLANK(F49),"","  Errore ! Inserire S o N"))</f>
        <v/>
      </c>
    </row>
    <row r="50" spans="1:14" s="781" customFormat="1" ht="4.3499999999999996" customHeight="1" x14ac:dyDescent="0.15">
      <c r="A50" s="1155"/>
      <c r="B50" s="1155"/>
      <c r="C50" s="1161"/>
      <c r="D50" s="1162"/>
      <c r="E50" s="796"/>
      <c r="F50" s="802"/>
      <c r="G50" s="803"/>
    </row>
    <row r="51" spans="1:14" s="781" customFormat="1" ht="30" customHeight="1" x14ac:dyDescent="0.15">
      <c r="A51" s="805" t="s">
        <v>1190</v>
      </c>
      <c r="B51" s="841" t="s">
        <v>656</v>
      </c>
      <c r="C51" s="1136"/>
      <c r="D51" s="806" t="s">
        <v>1191</v>
      </c>
      <c r="F51" s="1128"/>
      <c r="G51" s="788" t="str">
        <f>IF(AND(ISBLANK(F51),C51="x",$N$8&gt;0),"Attenzione: domanda a risposta obbligatoria",IF(ISBLANK(F51),"",IF(ISNUMBER(F51),IF(F51-INT(F51)=0,"","  Errore ! Inserire un numero intero senza decimali"),"  Errore ! Inserire un numero intero senza decimali")))</f>
        <v/>
      </c>
      <c r="K51" s="782" t="str">
        <f>LEFT(A51,3)</f>
        <v>WLF</v>
      </c>
      <c r="L51" s="782" t="str">
        <f>RIGHT(A51,3)</f>
        <v>529</v>
      </c>
      <c r="M51" s="782" t="str">
        <f>B51</f>
        <v>INT</v>
      </c>
      <c r="N51" s="782" t="str">
        <f>IF(ISNUMBER(F51),ROUND(F51,0),"")</f>
        <v/>
      </c>
    </row>
    <row r="52" spans="1:14" s="781" customFormat="1" ht="4.3499999999999996" customHeight="1" x14ac:dyDescent="0.15">
      <c r="A52" s="805"/>
      <c r="B52" s="805"/>
      <c r="C52" s="1136"/>
      <c r="D52" s="852"/>
      <c r="E52" s="796"/>
      <c r="F52" s="802"/>
      <c r="G52" s="803"/>
    </row>
    <row r="53" spans="1:14" s="781" customFormat="1" ht="30" customHeight="1" x14ac:dyDescent="0.15">
      <c r="A53" s="805" t="s">
        <v>1032</v>
      </c>
      <c r="B53" s="841" t="s">
        <v>656</v>
      </c>
      <c r="C53" s="1136"/>
      <c r="D53" s="806" t="s">
        <v>1037</v>
      </c>
      <c r="F53" s="1128"/>
      <c r="G53" s="788" t="str">
        <f>IF(AND(ISBLANK(F53),C53="x",$N$8&gt;0),"Attenzione: domanda a risposta obbligatoria",IF(ISBLANK(F53),"",IF(ISNUMBER(F53),IF(F53-INT(F53)=0,"","  Errore ! Inserire un numero intero senza decimali"),"  Errore ! Inserire un numero intero senza decimali")))</f>
        <v/>
      </c>
      <c r="K53" s="782" t="str">
        <f>LEFT(A53,3)</f>
        <v>WLF</v>
      </c>
      <c r="L53" s="782" t="str">
        <f>RIGHT(A53,3)</f>
        <v>467</v>
      </c>
      <c r="M53" s="782" t="str">
        <f>B53</f>
        <v>INT</v>
      </c>
      <c r="N53" s="782" t="str">
        <f>IF(ISNUMBER(F53),ROUND(F53,0),"")</f>
        <v/>
      </c>
    </row>
    <row r="54" spans="1:14" s="781" customFormat="1" ht="4.3499999999999996" customHeight="1" x14ac:dyDescent="0.15">
      <c r="A54" s="805"/>
      <c r="B54" s="805"/>
      <c r="C54" s="1136"/>
      <c r="D54" s="852"/>
      <c r="E54" s="796"/>
      <c r="F54" s="802"/>
      <c r="G54" s="803"/>
    </row>
    <row r="55" spans="1:14" s="781" customFormat="1" ht="30" customHeight="1" x14ac:dyDescent="0.15">
      <c r="A55" s="805" t="s">
        <v>1033</v>
      </c>
      <c r="B55" s="841" t="s">
        <v>656</v>
      </c>
      <c r="C55" s="1136"/>
      <c r="D55" s="806" t="s">
        <v>1038</v>
      </c>
      <c r="F55" s="1128"/>
      <c r="G55" s="788" t="str">
        <f>IF(AND(ISBLANK(F55),C55="x",$N$8&gt;0),"Attenzione: domanda a risposta obbligatoria",IF(ISBLANK(F55),"",IF(ISNUMBER(F55),IF(F55-INT(F55)=0,"","  Errore ! Inserire un numero intero senza decimali"),"  Errore ! Inserire un numero intero senza decimali")))</f>
        <v/>
      </c>
      <c r="K55" s="782" t="str">
        <f>LEFT(A55,3)</f>
        <v>WLF</v>
      </c>
      <c r="L55" s="782" t="str">
        <f>RIGHT(A55,3)</f>
        <v>468</v>
      </c>
      <c r="M55" s="782" t="str">
        <f>B55</f>
        <v>INT</v>
      </c>
      <c r="N55" s="782" t="str">
        <f>IF(ISNUMBER(F55),ROUND(F55,0),"")</f>
        <v/>
      </c>
    </row>
    <row r="56" spans="1:14" s="781" customFormat="1" ht="4.3499999999999996" customHeight="1" x14ac:dyDescent="0.15">
      <c r="A56" s="805"/>
      <c r="B56" s="805"/>
      <c r="C56" s="1136"/>
      <c r="D56" s="852"/>
      <c r="E56" s="796"/>
      <c r="F56" s="802"/>
      <c r="G56" s="803"/>
    </row>
    <row r="57" spans="1:14" s="781" customFormat="1" ht="30" customHeight="1" x14ac:dyDescent="0.15">
      <c r="A57" s="805" t="s">
        <v>1034</v>
      </c>
      <c r="B57" s="841" t="s">
        <v>656</v>
      </c>
      <c r="C57" s="1136"/>
      <c r="D57" s="806" t="s">
        <v>1039</v>
      </c>
      <c r="F57" s="1128"/>
      <c r="G57" s="788" t="str">
        <f>IF(AND(ISBLANK(F57),C57="x",$N$8&gt;0),"Attenzione: domanda a risposta obbligatoria",IF(ISBLANK(F57),"",IF(ISNUMBER(F57),IF(F57-INT(F57)=0,"","  Errore ! Inserire un numero intero senza decimali"),"  Errore ! Inserire un numero intero senza decimali")))</f>
        <v/>
      </c>
      <c r="K57" s="782" t="str">
        <f>LEFT(A57,3)</f>
        <v>WLF</v>
      </c>
      <c r="L57" s="782" t="str">
        <f>RIGHT(A57,3)</f>
        <v>469</v>
      </c>
      <c r="M57" s="782" t="str">
        <f>B57</f>
        <v>INT</v>
      </c>
      <c r="N57" s="782" t="str">
        <f>IF(ISNUMBER(F57),ROUND(F57,0),"")</f>
        <v/>
      </c>
    </row>
    <row r="58" spans="1:14" s="781" customFormat="1" ht="4.3499999999999996" customHeight="1" x14ac:dyDescent="0.15">
      <c r="A58" s="805"/>
      <c r="B58" s="805"/>
      <c r="C58" s="1136"/>
      <c r="D58" s="852"/>
      <c r="E58" s="796"/>
      <c r="F58" s="802"/>
      <c r="G58" s="803"/>
    </row>
    <row r="59" spans="1:14" s="781" customFormat="1" ht="30" customHeight="1" x14ac:dyDescent="0.15">
      <c r="A59" s="805" t="s">
        <v>1192</v>
      </c>
      <c r="B59" s="841" t="s">
        <v>656</v>
      </c>
      <c r="C59" s="1136"/>
      <c r="D59" s="806" t="s">
        <v>1193</v>
      </c>
      <c r="F59" s="1128"/>
      <c r="G59" s="788" t="str">
        <f>IF(AND(ISBLANK(F59),C59="x",$N$8&gt;0),"Attenzione: domanda a risposta obbligatoria",IF(ISBLANK(F59),"",IF(ISNUMBER(F59),IF(F59-INT(F59)=0,"","  Errore ! Inserire un numero intero senza decimali"),"  Errore ! Inserire un numero intero senza decimali")))</f>
        <v/>
      </c>
      <c r="K59" s="782" t="str">
        <f>LEFT(A59,3)</f>
        <v>WLF</v>
      </c>
      <c r="L59" s="782" t="str">
        <f>RIGHT(A59,3)</f>
        <v>520</v>
      </c>
      <c r="M59" s="782" t="str">
        <f>B59</f>
        <v>INT</v>
      </c>
      <c r="N59" s="782" t="str">
        <f>IF(ISNUMBER(F59),ROUND(F59,0),"")</f>
        <v/>
      </c>
    </row>
    <row r="60" spans="1:14" s="781" customFormat="1" ht="4.3499999999999996" customHeight="1" x14ac:dyDescent="0.15">
      <c r="A60" s="805"/>
      <c r="B60" s="805"/>
      <c r="C60" s="1136"/>
      <c r="D60" s="852"/>
      <c r="E60" s="796"/>
      <c r="F60" s="802"/>
      <c r="G60" s="803"/>
    </row>
    <row r="61" spans="1:14" s="781" customFormat="1" ht="30" customHeight="1" x14ac:dyDescent="0.15">
      <c r="A61" s="805" t="s">
        <v>1036</v>
      </c>
      <c r="B61" s="841" t="s">
        <v>656</v>
      </c>
      <c r="C61" s="1136"/>
      <c r="D61" s="806" t="s">
        <v>1041</v>
      </c>
      <c r="F61" s="1128"/>
      <c r="G61" s="788" t="str">
        <f>IF(AND(ISBLANK(F61),C61="x",$N$8&gt;0),"Attenzione: domanda a risposta obbligatoria",IF(ISBLANK(F61),"",IF(ISNUMBER(F61),IF(F61-INT(F61)=0,"","  Errore ! Inserire un numero intero senza decimali"),"  Errore ! Inserire un numero intero senza decimali")))</f>
        <v/>
      </c>
      <c r="K61" s="782" t="str">
        <f>LEFT(A61,3)</f>
        <v>WLF</v>
      </c>
      <c r="L61" s="782" t="str">
        <f>RIGHT(A61,3)</f>
        <v>471</v>
      </c>
      <c r="M61" s="782" t="str">
        <f>B61</f>
        <v>INT</v>
      </c>
      <c r="N61" s="782" t="str">
        <f>IF(ISNUMBER(F61),ROUND(F61,0),"")</f>
        <v/>
      </c>
    </row>
    <row r="62" spans="1:14" s="781" customFormat="1" ht="4.3499999999999996" customHeight="1" x14ac:dyDescent="0.15">
      <c r="A62" s="805"/>
      <c r="B62" s="805"/>
      <c r="D62" s="852"/>
      <c r="E62" s="796"/>
      <c r="F62" s="802"/>
      <c r="G62" s="803"/>
    </row>
    <row r="63" spans="1:14" s="781" customFormat="1" ht="30" customHeight="1" x14ac:dyDescent="0.15">
      <c r="A63" s="805" t="s">
        <v>1194</v>
      </c>
      <c r="B63" s="841" t="s">
        <v>656</v>
      </c>
      <c r="D63" s="806" t="s">
        <v>1195</v>
      </c>
      <c r="E63" s="796"/>
      <c r="F63" s="1128"/>
      <c r="G63" s="788" t="str">
        <f>IF(AND(ISBLANK(F63),C63="x",$N$8&gt;0),"Attenzione: domanda a risposta obbligatoria",IF(ISBLANK(F63),"",IF(ISNUMBER(F63),IF(F63-INT(F63)=0,"","  Errore ! Inserire un numero intero senza decimali"),"  Errore ! Inserire un numero intero senza decimali")))</f>
        <v/>
      </c>
      <c r="K63" s="782" t="str">
        <f>LEFT(A63,3)</f>
        <v>WLF</v>
      </c>
      <c r="L63" s="782" t="str">
        <f>RIGHT(A63,3)</f>
        <v>521</v>
      </c>
      <c r="M63" s="782" t="str">
        <f>B63</f>
        <v>INT</v>
      </c>
      <c r="N63" s="782" t="str">
        <f>IF(ISNUMBER(F63),ROUND(F63,0),"")</f>
        <v/>
      </c>
    </row>
    <row r="64" spans="1:14" s="781" customFormat="1" ht="4.3499999999999996" customHeight="1" x14ac:dyDescent="0.15">
      <c r="A64" s="805"/>
      <c r="B64" s="805"/>
      <c r="D64" s="852"/>
      <c r="E64" s="796"/>
      <c r="F64" s="802"/>
      <c r="G64" s="803"/>
    </row>
    <row r="65" spans="1:14" s="769" customFormat="1" ht="30" customHeight="1" x14ac:dyDescent="0.15">
      <c r="A65" s="1121" t="s">
        <v>678</v>
      </c>
      <c r="B65" s="1121"/>
      <c r="C65" s="1122"/>
      <c r="D65" s="1122" t="s">
        <v>679</v>
      </c>
      <c r="E65" s="1144"/>
      <c r="F65" s="1145"/>
      <c r="G65" s="1124"/>
      <c r="K65" s="775"/>
      <c r="L65" s="775"/>
      <c r="M65" s="775"/>
    </row>
    <row r="66" spans="1:14" s="769" customFormat="1" ht="4.3499999999999996" customHeight="1" x14ac:dyDescent="0.15">
      <c r="A66" s="787"/>
      <c r="B66" s="787"/>
      <c r="D66" s="770"/>
      <c r="E66" s="770"/>
      <c r="F66" s="771"/>
      <c r="G66" s="785"/>
      <c r="I66" s="1143"/>
      <c r="J66" s="786"/>
    </row>
    <row r="67" spans="1:14" s="769" customFormat="1" ht="15" customHeight="1" x14ac:dyDescent="0.15">
      <c r="A67" s="799" t="s">
        <v>680</v>
      </c>
      <c r="B67" s="800" t="s">
        <v>391</v>
      </c>
      <c r="D67" s="795" t="s">
        <v>681</v>
      </c>
      <c r="E67" s="781"/>
      <c r="F67" s="797"/>
      <c r="G67" s="813"/>
      <c r="K67" s="782" t="str">
        <f>LEFT(A67,3)</f>
        <v>INF</v>
      </c>
      <c r="L67" s="782" t="str">
        <f>RIGHT(A67,3)</f>
        <v>209</v>
      </c>
      <c r="M67" s="782" t="str">
        <f>B67</f>
        <v>NOTE</v>
      </c>
      <c r="N67" s="781" t="str">
        <f>IF(ISBLANK(D68),"",LEFT(D68,1500))</f>
        <v/>
      </c>
    </row>
    <row r="68" spans="1:14" s="769" customFormat="1" ht="45" customHeight="1" x14ac:dyDescent="0.15">
      <c r="A68" s="1146"/>
      <c r="B68" s="1146"/>
      <c r="D68" s="1558"/>
      <c r="E68" s="1559"/>
      <c r="F68" s="1560"/>
      <c r="G68" s="788" t="str">
        <f>IF(LEN(D68)&gt;1500,"Attenzione, è stato superato il numero massimo di 1500 caratteri","")</f>
        <v/>
      </c>
      <c r="I68" s="1143"/>
      <c r="J68" s="786"/>
    </row>
    <row r="69" spans="1:14" s="769" customFormat="1" ht="15" customHeight="1" x14ac:dyDescent="0.15">
      <c r="A69" s="814"/>
      <c r="B69" s="814"/>
      <c r="D69" s="796"/>
      <c r="E69" s="796"/>
      <c r="F69" s="815"/>
      <c r="G69" s="812"/>
      <c r="I69" s="1143"/>
      <c r="J69" s="786"/>
      <c r="K69" s="782"/>
      <c r="L69" s="782"/>
      <c r="M69" s="782"/>
      <c r="N69" s="781"/>
    </row>
    <row r="70" spans="1:14" s="769" customFormat="1" ht="15" customHeight="1" x14ac:dyDescent="0.15">
      <c r="A70" s="799" t="s">
        <v>682</v>
      </c>
      <c r="B70" s="800" t="s">
        <v>391</v>
      </c>
      <c r="D70" s="795" t="s">
        <v>683</v>
      </c>
      <c r="E70" s="781"/>
      <c r="F70" s="797"/>
      <c r="G70" s="813"/>
      <c r="I70" s="1143"/>
      <c r="J70" s="786"/>
      <c r="K70" s="782" t="str">
        <f>LEFT(A70,3)</f>
        <v>INF</v>
      </c>
      <c r="L70" s="782" t="str">
        <f>RIGHT(A70,3)</f>
        <v>127</v>
      </c>
      <c r="M70" s="782" t="str">
        <f>B70</f>
        <v>NOTE</v>
      </c>
      <c r="N70" s="781" t="str">
        <f>IF(ISBLANK(D71),"",LEFT(D71,1500))</f>
        <v/>
      </c>
    </row>
    <row r="71" spans="1:14" s="769" customFormat="1" ht="45" customHeight="1" x14ac:dyDescent="0.15">
      <c r="A71" s="1146"/>
      <c r="B71" s="1146"/>
      <c r="D71" s="1558"/>
      <c r="E71" s="1559"/>
      <c r="F71" s="1560"/>
      <c r="G71" s="788" t="str">
        <f>IF(LEN(D71)&gt;1500,"Attenzione, è stato superato il numero massimo di 1500 caratteri","")</f>
        <v/>
      </c>
      <c r="K71" s="789" t="s">
        <v>531</v>
      </c>
      <c r="L71" s="781"/>
      <c r="M71" s="781"/>
      <c r="N71" s="781"/>
    </row>
    <row r="72" spans="1:14" s="854" customFormat="1" x14ac:dyDescent="0.2">
      <c r="A72" s="853"/>
      <c r="B72" s="853"/>
      <c r="F72" s="855"/>
      <c r="G72" s="856"/>
    </row>
  </sheetData>
  <sheetProtection algorithmName="SHA-512" hashValue="yIU1hEyZ+hdeH7xUeAuN4wDpI5YYmYAzaIb3kOAkFPFvFKFUeJvlrVXU9JM/VE6/KBFwVhduPDv/TJWJAqp6Gw==" saltValue="MIg0UFrtfdI7zysYMq2geQ==" spinCount="100000" sheet="1" formatColumns="0" selectLockedCells="1"/>
  <dataConsolidate/>
  <mergeCells count="4">
    <mergeCell ref="D71:F71"/>
    <mergeCell ref="G2:G3"/>
    <mergeCell ref="G5:G6"/>
    <mergeCell ref="D68:F68"/>
  </mergeCells>
  <dataValidations count="3">
    <dataValidation type="whole" operator="lessThan" allowBlank="1" showInputMessage="1" showErrorMessage="1" errorTitle="Errore di digitazione" error="Inserire solo numeri interi o lasciare vuoto." sqref="F47 F25 F15 F45 F21 F19 F41 F27 F35 F29 F31 F33 F37 F39 F51 IS51 SO51 ACK51 AMG51 AWC51 BFY51 BPU51 BZQ51 CJM51 CTI51 DDE51 DNA51 DWW51 EGS51 EQO51 FAK51 FKG51 FUC51 GDY51 GNU51 GXQ51 HHM51 HRI51 IBE51 ILA51 IUW51 JES51 JOO51 JYK51 KIG51 KSC51 LBY51 LLU51 LVQ51 MFM51 MPI51 MZE51 NJA51 NSW51 OCS51 OMO51 OWK51 PGG51 PQC51 PZY51 QJU51 QTQ51 RDM51 RNI51 RXE51 SHA51 SQW51 TAS51 TKO51 TUK51 UEG51 UOC51 UXY51 VHU51 VRQ51 WBM51 WLI51 WVE51 F53 IS53 SO53 ACK53 AMG53 AWC53 BFY53 BPU53 BZQ53 CJM53 CTI53 DDE53 DNA53 DWW53 EGS53 EQO53 FAK53 FKG53 FUC53 GDY53 GNU53 GXQ53 HHM53 HRI53 IBE53 ILA53 IUW53 JES53 JOO53 JYK53 KIG53 KSC53 LBY53 LLU53 LVQ53 MFM53 MPI53 MZE53 NJA53 NSW53 OCS53 OMO53 OWK53 PGG53 PQC53 PZY53 QJU53 QTQ53 RDM53 RNI53 RXE53 SHA53 SQW53 TAS53 TKO53 TUK53 UEG53 UOC53 UXY53 VHU53 VRQ53 WBM53 WLI53 WVE53 F55 IS55 SO55 ACK55 AMG55 AWC55 BFY55 BPU55 BZQ55 CJM55 CTI55 DDE55 DNA55 DWW55 EGS55 EQO55 FAK55 FKG55 FUC55 GDY55 GNU55 GXQ55 HHM55 HRI55 IBE55 ILA55 IUW55 JES55 JOO55 JYK55 KIG55 KSC55 LBY55 LLU55 LVQ55 MFM55 MPI55 MZE55 NJA55 NSW55 OCS55 OMO55 OWK55 PGG55 PQC55 PZY55 QJU55 QTQ55 RDM55 RNI55 RXE55 SHA55 SQW55 TAS55 TKO55 TUK55 UEG55 UOC55 UXY55 VHU55 VRQ55 WBM55 WLI55 WVE55 F57 IS57 SO57 ACK57 AMG57 AWC57 BFY57 BPU57 BZQ57 CJM57 CTI57 DDE57 DNA57 DWW57 EGS57 EQO57 FAK57 FKG57 FUC57 GDY57 GNU57 GXQ57 HHM57 HRI57 IBE57 ILA57 IUW57 JES57 JOO57 JYK57 KIG57 KSC57 LBY57 LLU57 LVQ57 MFM57 MPI57 MZE57 NJA57 NSW57 OCS57 OMO57 OWK57 PGG57 PQC57 PZY57 QJU57 QTQ57 RDM57 RNI57 RXE57 SHA57 SQW57 TAS57 TKO57 TUK57 UEG57 UOC57 UXY57 VHU57 VRQ57 WBM57 WLI57 WVE57 F59 IS59 SO59 ACK59 AMG59 AWC59 BFY59 BPU59 BZQ59 CJM59 CTI59 DDE59 DNA59 DWW59 EGS59 EQO59 FAK59 FKG59 FUC59 GDY59 GNU59 GXQ59 HHM59 HRI59 IBE59 ILA59 IUW59 JES59 JOO59 JYK59 KIG59 KSC59 LBY59 LLU59 LVQ59 MFM59 MPI59 MZE59 NJA59 NSW59 OCS59 OMO59 OWK59 PGG59 PQC59 PZY59 QJU59 QTQ59 RDM59 RNI59 RXE59 SHA59 SQW59 TAS59 TKO59 TUK59 UEG59 UOC59 UXY59 VHU59 VRQ59 WBM59 WLI59 WVE59 F61 IS61 SO61 ACK61 AMG61 AWC61 BFY61 BPU61 BZQ61 CJM61 CTI61 DDE61 DNA61 DWW61 EGS61 EQO61 FAK61 FKG61 FUC61 GDY61 GNU61 GXQ61 HHM61 HRI61 IBE61 ILA61 IUW61 JES61 JOO61 JYK61 KIG61 KSC61 LBY61 LLU61 LVQ61 MFM61 MPI61 MZE61 NJA61 NSW61 OCS61 OMO61 OWK61 PGG61 PQC61 PZY61 QJU61 QTQ61 RDM61 RNI61 RXE61 SHA61 SQW61 TAS61 TKO61 TUK61 UEG61 UOC61 UXY61 VHU61 VRQ61 WBM61 WLI61 WVE61 F63" xr:uid="{A90A9712-5D84-4D85-8AAF-C0131B92D1C7}">
      <formula1>100000000000000</formula1>
    </dataValidation>
    <dataValidation type="textLength" allowBlank="1" showInputMessage="1" showErrorMessage="1" error="Inserire massimo 1500 caratteri" sqref="D71:F71 D68:F68" xr:uid="{3A5036A3-6397-49E7-88BB-AA9CE5F96528}">
      <formula1>0</formula1>
      <formula2>1500</formula2>
    </dataValidation>
    <dataValidation type="date" allowBlank="1" showInputMessage="1" showErrorMessage="1" errorTitle="Errore di digitazione" error="Digitare una data non anteriore al 1 Gennaio dell'anno precedente alla di rilevazione (gg/mm/aaaa)" sqref="F13" xr:uid="{9CAB567F-44FD-4EAF-B676-746626C69836}">
      <formula1>44562</formula1>
      <formula2>TODAY()</formula2>
    </dataValidation>
  </dataValidations>
  <printOptions horizontalCentered="1"/>
  <pageMargins left="0.39370078740157483" right="0.39370078740157483" top="0.78740157480314965" bottom="0.39370078740157483" header="0.31496062992125984" footer="0.31496062992125984"/>
  <pageSetup paperSize="9" scale="53"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N86"/>
  <sheetViews>
    <sheetView showGridLines="0" topLeftCell="B1" zoomScale="80" zoomScaleNormal="80" workbookViewId="0">
      <selection activeCell="F13" sqref="F13"/>
    </sheetView>
  </sheetViews>
  <sheetFormatPr defaultColWidth="12.6640625" defaultRowHeight="15" x14ac:dyDescent="0.2"/>
  <cols>
    <col min="1" max="1" width="10.6640625" style="790" customWidth="1"/>
    <col min="2" max="2" width="8.6640625" style="790" customWidth="1"/>
    <col min="3" max="3" width="2.6640625" style="767" customWidth="1"/>
    <col min="4" max="4" width="180.6640625" style="767" customWidth="1"/>
    <col min="5" max="5" width="2.6640625" style="767" customWidth="1"/>
    <col min="6" max="6" width="20.6640625" style="791" customWidth="1"/>
    <col min="7" max="7" width="50.6640625" style="766" customWidth="1"/>
    <col min="8" max="10" width="12.6640625" style="767" customWidth="1"/>
    <col min="11" max="13" width="12.6640625" style="767" hidden="1" customWidth="1"/>
    <col min="14" max="14" width="15.6640625" style="767" hidden="1" customWidth="1"/>
    <col min="15" max="16384" width="12.6640625" style="767"/>
  </cols>
  <sheetData>
    <row r="1" spans="1:14" s="1096" customFormat="1" ht="35.1" customHeight="1" thickBot="1" x14ac:dyDescent="0.2">
      <c r="A1" s="1092"/>
      <c r="B1" s="1092"/>
      <c r="C1" s="1093"/>
      <c r="D1" s="1093"/>
      <c r="E1" s="1094"/>
      <c r="F1" s="1094"/>
      <c r="G1" s="907" t="s">
        <v>852</v>
      </c>
      <c r="H1" s="1147" t="s">
        <v>456</v>
      </c>
    </row>
    <row r="2" spans="1:14" s="1096" customFormat="1" ht="35.1" customHeight="1" x14ac:dyDescent="0.35">
      <c r="A2" s="1097" t="s">
        <v>643</v>
      </c>
      <c r="B2" s="1097"/>
      <c r="C2" s="1098"/>
      <c r="D2" s="1098"/>
      <c r="E2" s="1098"/>
      <c r="F2" s="1099"/>
      <c r="G2" s="1549" t="str">
        <f>IF(AND(ISBLANK($F$23),SUM('t15(2)'!$W:$W)+SUM('t15(2)'!$R:$R)&gt;0),"Attenzione: è necessario compilare la domanda LEG428 !!!","OK")</f>
        <v>OK</v>
      </c>
    </row>
    <row r="3" spans="1:14" s="1103" customFormat="1" ht="35.1" customHeight="1" thickBot="1" x14ac:dyDescent="0.4">
      <c r="A3" s="1097" t="s">
        <v>644</v>
      </c>
      <c r="B3" s="1097"/>
      <c r="C3" s="1100"/>
      <c r="D3" s="1100"/>
      <c r="E3" s="1101"/>
      <c r="F3" s="1102"/>
      <c r="G3" s="1553"/>
      <c r="K3" s="1104"/>
    </row>
    <row r="4" spans="1:14" s="1111" customFormat="1" ht="35.1" customHeight="1" thickBot="1" x14ac:dyDescent="0.2">
      <c r="A4" s="1105"/>
      <c r="B4" s="1106"/>
      <c r="C4" s="1107"/>
      <c r="D4" s="1107"/>
      <c r="E4" s="1108"/>
      <c r="F4" s="1109"/>
      <c r="G4" s="1110" t="s">
        <v>645</v>
      </c>
    </row>
    <row r="5" spans="1:14" s="1111" customFormat="1" ht="35.1" customHeight="1" x14ac:dyDescent="0.15">
      <c r="G5" s="1561" t="str">
        <f>IF(AND(ISBLANK(F13),ISBLANK(F17)),"OK",IF(AND(OR(ISBLANK(F13),YEAR(F13)&gt;'t1'!L1-1),OR(ISBLANK(F17),YEAR(F17)&gt;'t1'!L1-1)),"OK","Attenzione: almeno una data di certificazione è antececedente l'anno "&amp;'t1'!L1&amp;", è necessario giustificare"))</f>
        <v>OK</v>
      </c>
    </row>
    <row r="6" spans="1:14" s="1111" customFormat="1" ht="35.1" customHeight="1" thickBot="1" x14ac:dyDescent="0.2">
      <c r="A6" s="1112" t="str">
        <f>'t1'!$A$1</f>
        <v>ENTI PUBBLICI NON ECONOMICI - anno 2024</v>
      </c>
      <c r="B6" s="1112"/>
      <c r="C6" s="1113"/>
      <c r="D6" s="1114"/>
      <c r="E6" s="1113"/>
      <c r="F6" s="1113"/>
      <c r="G6" s="1562"/>
    </row>
    <row r="7" spans="1:14" s="1111" customFormat="1" ht="35.1" customHeight="1" x14ac:dyDescent="0.2">
      <c r="A7" s="1115"/>
      <c r="B7" s="1115"/>
      <c r="D7" s="1116" t="s">
        <v>646</v>
      </c>
      <c r="G7" s="766"/>
      <c r="N7" s="765" t="s">
        <v>647</v>
      </c>
    </row>
    <row r="8" spans="1:14" s="1111" customFormat="1" ht="15" customHeight="1" x14ac:dyDescent="0.2">
      <c r="A8" s="1115"/>
      <c r="B8" s="1115"/>
      <c r="D8" s="1117"/>
      <c r="G8" s="766"/>
      <c r="N8" s="1118">
        <f>(COUNTIF(F:F,"&lt;&gt;"&amp;"")+COUNTIF(D82,"&lt;&gt;"&amp;"")+COUNTIF(D85,"&lt;&gt;"&amp;""))</f>
        <v>0</v>
      </c>
    </row>
    <row r="9" spans="1:14" s="1111" customFormat="1" ht="10.35" customHeight="1" x14ac:dyDescent="0.2">
      <c r="A9" s="1115"/>
      <c r="B9" s="1115"/>
      <c r="D9" s="1117"/>
      <c r="G9" s="766"/>
      <c r="N9" s="765"/>
    </row>
    <row r="10" spans="1:14" ht="10.35" customHeight="1" x14ac:dyDescent="0.2">
      <c r="A10" s="1119"/>
      <c r="B10" s="1119"/>
      <c r="D10" s="1120"/>
      <c r="E10" s="1119"/>
      <c r="F10" s="776"/>
    </row>
    <row r="11" spans="1:14" s="769" customFormat="1" ht="35.1" customHeight="1" x14ac:dyDescent="0.15">
      <c r="A11" s="1121" t="s">
        <v>648</v>
      </c>
      <c r="B11" s="1121"/>
      <c r="C11" s="1122"/>
      <c r="D11" s="1122" t="s">
        <v>649</v>
      </c>
      <c r="E11" s="1121"/>
      <c r="F11" s="1123"/>
      <c r="G11" s="768"/>
      <c r="K11" s="765" t="s">
        <v>650</v>
      </c>
      <c r="L11" s="765" t="s">
        <v>651</v>
      </c>
      <c r="M11" s="765" t="s">
        <v>652</v>
      </c>
      <c r="N11" s="765" t="s">
        <v>639</v>
      </c>
    </row>
    <row r="12" spans="1:14" s="769" customFormat="1" ht="4.3499999999999996" customHeight="1" x14ac:dyDescent="0.15">
      <c r="A12" s="770"/>
      <c r="B12" s="770"/>
      <c r="D12" s="770"/>
      <c r="E12" s="770"/>
      <c r="F12" s="771"/>
      <c r="G12" s="768"/>
      <c r="K12" s="772"/>
      <c r="L12" s="772"/>
      <c r="M12" s="772"/>
      <c r="N12" s="772"/>
    </row>
    <row r="13" spans="1:14" s="769" customFormat="1" ht="30" customHeight="1" x14ac:dyDescent="0.15">
      <c r="A13" s="828" t="s">
        <v>720</v>
      </c>
      <c r="B13" s="830" t="s">
        <v>654</v>
      </c>
      <c r="C13" s="875"/>
      <c r="D13" s="806" t="s">
        <v>883</v>
      </c>
      <c r="E13" s="831"/>
      <c r="F13" s="778"/>
      <c r="G13" s="1124" t="str">
        <f ca="1">IF(AND(ISBLANK(F13),C13="x",$N$8&gt;0),"Attenzione: domanda a risposta obbligatoria",IF(ISBLANK(F13),"",IF(AND(F13&gt;=DATE('t1'!$L$1-2,1,1),F13&lt;=TODAY()),"","Digitare una data non anteriore al 1 Gennaio "&amp;'t1'!$L$1-1&amp;" (gg/mm/aaaa)")))</f>
        <v/>
      </c>
      <c r="K13" s="775" t="str">
        <f>LEFT(A13,3)</f>
        <v>GEN</v>
      </c>
      <c r="L13" s="775" t="str">
        <f>RIGHT(A13,3)</f>
        <v>353</v>
      </c>
      <c r="M13" s="775" t="str">
        <f>B13</f>
        <v>DATE</v>
      </c>
      <c r="N13" s="1125" t="str">
        <f ca="1">IF(AND(F13&gt;=DATE('t1'!$L$1-1,1,1),F13&lt;=TODAY()),"'"&amp;DAY(F13)&amp;"/"&amp;MONTH(F13)&amp;"/"&amp;YEAR(F13),"")</f>
        <v/>
      </c>
    </row>
    <row r="14" spans="1:14" s="769" customFormat="1" ht="4.3499999999999996" customHeight="1" x14ac:dyDescent="0.15">
      <c r="A14" s="773"/>
      <c r="B14" s="773"/>
      <c r="C14" s="875"/>
      <c r="D14" s="852"/>
      <c r="E14" s="770"/>
      <c r="F14" s="776"/>
      <c r="G14" s="777"/>
      <c r="N14" s="781"/>
    </row>
    <row r="15" spans="1:14" s="769" customFormat="1" ht="30" customHeight="1" x14ac:dyDescent="0.15">
      <c r="A15" s="828" t="s">
        <v>721</v>
      </c>
      <c r="B15" s="830" t="s">
        <v>654</v>
      </c>
      <c r="C15" s="875"/>
      <c r="D15" s="806" t="s">
        <v>884</v>
      </c>
      <c r="E15" s="831"/>
      <c r="F15" s="778"/>
      <c r="G15" s="1124" t="str">
        <f ca="1">IF(AND(ISBLANK(F15),C15="x",$N$8&gt;0),"Attenzione: domanda a risposta obbligatoria",IF(ISBLANK(F15),"",IF(AND(F15&gt;=DATE('t1'!$L$1-2,1,1),F15&lt;=TODAY()),"","Digitare una data non anteriore al 1 Gennaio "&amp;'t1'!$L$1-1&amp;" (gg/mm/aaaa)")))</f>
        <v/>
      </c>
      <c r="K15" s="775" t="str">
        <f>LEFT(A15,3)</f>
        <v>GEN</v>
      </c>
      <c r="L15" s="775" t="str">
        <f>RIGHT(A15,3)</f>
        <v>354</v>
      </c>
      <c r="M15" s="775" t="str">
        <f>B15</f>
        <v>DATE</v>
      </c>
      <c r="N15" s="1125" t="str">
        <f ca="1">IF(AND(F15&gt;=DATE('t1'!$L$1-1,1,1),F15&lt;=TODAY()),"'"&amp;DAY(F15)&amp;"/"&amp;MONTH(F15)&amp;"/"&amp;YEAR(F15),"")</f>
        <v/>
      </c>
    </row>
    <row r="16" spans="1:14" s="769" customFormat="1" ht="4.3499999999999996" customHeight="1" x14ac:dyDescent="0.15">
      <c r="A16" s="773"/>
      <c r="B16" s="773"/>
      <c r="C16" s="875"/>
      <c r="D16" s="806"/>
      <c r="E16" s="770"/>
      <c r="F16" s="776"/>
      <c r="G16" s="777"/>
      <c r="N16" s="781"/>
    </row>
    <row r="17" spans="1:14" s="769" customFormat="1" ht="30" customHeight="1" x14ac:dyDescent="0.15">
      <c r="A17" s="828" t="s">
        <v>722</v>
      </c>
      <c r="B17" s="830" t="s">
        <v>654</v>
      </c>
      <c r="C17" s="875"/>
      <c r="D17" s="806" t="s">
        <v>885</v>
      </c>
      <c r="E17" s="832"/>
      <c r="F17" s="778"/>
      <c r="G17" s="1124" t="str">
        <f ca="1">IF(AND(ISBLANK(F17),C17="x",$N$8&gt;0),"Attenzione: domanda a risposta obbligatoria",IF(ISBLANK(F17),"",IF(AND(F17&gt;=DATE('t1'!$L$1-2,1,1),F17&lt;=TODAY()),"","Digitare una data non anteriore al 1 Gennaio "&amp;'t1'!$L$1-1&amp;" (gg/mm/aaaa)")))</f>
        <v/>
      </c>
      <c r="K17" s="775" t="str">
        <f>LEFT(A17,3)</f>
        <v>GEN</v>
      </c>
      <c r="L17" s="775" t="str">
        <f>RIGHT(A17,3)</f>
        <v>355</v>
      </c>
      <c r="M17" s="775" t="str">
        <f>B17</f>
        <v>DATE</v>
      </c>
      <c r="N17" s="1125" t="str">
        <f ca="1">IF(AND(F17&gt;=DATE('t1'!$L$1-1,1,1),F17&lt;=TODAY()),"'"&amp;DAY(F17)&amp;"/"&amp;MONTH(F17)&amp;"/"&amp;YEAR(F17),"")</f>
        <v/>
      </c>
    </row>
    <row r="18" spans="1:14" s="769" customFormat="1" ht="4.3499999999999996" customHeight="1" x14ac:dyDescent="0.15">
      <c r="A18" s="773"/>
      <c r="B18" s="773"/>
      <c r="C18" s="875"/>
      <c r="D18" s="770"/>
      <c r="E18" s="770"/>
      <c r="F18" s="776"/>
      <c r="G18" s="777"/>
    </row>
    <row r="19" spans="1:14" s="769" customFormat="1" ht="30" customHeight="1" x14ac:dyDescent="0.15">
      <c r="A19" s="833" t="s">
        <v>655</v>
      </c>
      <c r="B19" s="834" t="s">
        <v>656</v>
      </c>
      <c r="C19" s="875" t="s">
        <v>910</v>
      </c>
      <c r="D19" s="829" t="s">
        <v>657</v>
      </c>
      <c r="E19" s="831"/>
      <c r="F19" s="835"/>
      <c r="G19" s="1124" t="str">
        <f>IF(AND(ISBLANK(F19),C19="x",$N$8&gt;0),"Attenzione: domanda a risposta obbligatoria",IF(AND(SUM(F13:F17)&gt;0,G5="ok",F19&gt;0),"Attenzione, dato incoerente",IF(ISBLANK(F19),"",IF(ISNUMBER(F19),IF(F19-INT(F19)=0,"","  Errore ! Inserire un numero intero senza decimali"),"  Errore ! Inserire un numero intero senza decimali"))))</f>
        <v/>
      </c>
      <c r="K19" s="775" t="str">
        <f>LEFT(A19,3)</f>
        <v>GEN</v>
      </c>
      <c r="L19" s="775" t="str">
        <f>RIGHT(A19,3)</f>
        <v>195</v>
      </c>
      <c r="M19" s="775" t="str">
        <f>B19</f>
        <v>INT</v>
      </c>
      <c r="N19" s="775" t="str">
        <f>IF(ISNUMBER(F19),ROUND(F19,0),"")</f>
        <v/>
      </c>
    </row>
    <row r="20" spans="1:14" s="769" customFormat="1" ht="4.3499999999999996" customHeight="1" x14ac:dyDescent="0.15">
      <c r="A20" s="780"/>
      <c r="B20" s="780"/>
      <c r="C20" s="875"/>
      <c r="D20" s="770"/>
      <c r="E20" s="770"/>
      <c r="F20" s="771"/>
      <c r="G20" s="777"/>
    </row>
    <row r="21" spans="1:14" s="769" customFormat="1" ht="30" customHeight="1" x14ac:dyDescent="0.15">
      <c r="A21" s="1121" t="s">
        <v>658</v>
      </c>
      <c r="B21" s="1121"/>
      <c r="C21" s="1126"/>
      <c r="D21" s="1122" t="s">
        <v>753</v>
      </c>
      <c r="E21" s="1121"/>
      <c r="F21" s="1123"/>
      <c r="G21" s="777"/>
    </row>
    <row r="22" spans="1:14" s="831" customFormat="1" ht="4.3499999999999996" customHeight="1" x14ac:dyDescent="0.15">
      <c r="A22" s="842"/>
      <c r="B22" s="842"/>
      <c r="C22" s="876"/>
      <c r="D22" s="842"/>
      <c r="E22" s="842"/>
      <c r="F22" s="843"/>
      <c r="G22" s="844"/>
      <c r="I22" s="1127"/>
      <c r="J22" s="845"/>
    </row>
    <row r="23" spans="1:14" s="781" customFormat="1" ht="30" customHeight="1" x14ac:dyDescent="0.15">
      <c r="A23" s="828" t="s">
        <v>856</v>
      </c>
      <c r="B23" s="830" t="s">
        <v>656</v>
      </c>
      <c r="C23" s="877" t="s">
        <v>910</v>
      </c>
      <c r="D23" s="829" t="s">
        <v>857</v>
      </c>
      <c r="F23" s="1128"/>
      <c r="G23" s="788" t="str">
        <f>IF(AND(ISBLANK(F23),C23="x",$N$8&gt;0),"Attenzione: domanda a risposta obbligatoria",IF(ISBLANK(F23),"",IF(ISNUMBER(F23),IF(F23-INT(F23)=0,"","  Errore ! Inserire un numero intero senza decimali"),"  Errore ! Inserire un numero intero senza decimali")))</f>
        <v/>
      </c>
      <c r="K23" s="782" t="str">
        <f>LEFT(A23,3)</f>
        <v>LEG</v>
      </c>
      <c r="L23" s="782" t="str">
        <f>RIGHT(A23,3)</f>
        <v>428</v>
      </c>
      <c r="M23" s="782" t="str">
        <f>B23</f>
        <v>INT</v>
      </c>
      <c r="N23" s="782" t="str">
        <f>IF(ISNUMBER(F23),ROUND(F23,0),"")</f>
        <v/>
      </c>
    </row>
    <row r="24" spans="1:14" s="832" customFormat="1" ht="4.3499999999999996" customHeight="1" x14ac:dyDescent="0.15">
      <c r="A24" s="828"/>
      <c r="B24" s="1129"/>
      <c r="C24" s="1130"/>
      <c r="D24" s="1131"/>
      <c r="E24" s="1132"/>
      <c r="F24" s="1133"/>
      <c r="G24" s="1148"/>
      <c r="I24" s="1134"/>
      <c r="J24" s="1135"/>
    </row>
    <row r="25" spans="1:14" s="781" customFormat="1" ht="30" customHeight="1" x14ac:dyDescent="0.15">
      <c r="A25" s="805" t="s">
        <v>825</v>
      </c>
      <c r="B25" s="841" t="s">
        <v>656</v>
      </c>
      <c r="C25" s="877"/>
      <c r="D25" s="863" t="s">
        <v>911</v>
      </c>
      <c r="E25" s="1136"/>
      <c r="F25" s="1137"/>
      <c r="G25" s="788" t="str">
        <f>IF(AND(ISBLANK(F25),C25="x",$N$8&gt;0),"Attenzione: domanda a risposta obbligatoria",IF(ISBLANK(F25),"",IF(ISNUMBER(F25),IF(F25-INT(F25)=0,"","  Errore ! Inserire un numero intero senza decimali"),"  Errore ! Inserire un numero intero senza decimali")))</f>
        <v/>
      </c>
      <c r="K25" s="782" t="str">
        <f>LEFT(A25,3)</f>
        <v>LEG</v>
      </c>
      <c r="L25" s="782" t="str">
        <f>RIGHT(A25,3)</f>
        <v>398</v>
      </c>
      <c r="M25" s="782" t="str">
        <f>B25</f>
        <v>INT</v>
      </c>
      <c r="N25" s="782" t="str">
        <f>IF(ISNUMBER(F25),ROUND(F25,0),"")</f>
        <v/>
      </c>
    </row>
    <row r="26" spans="1:14" s="781" customFormat="1" ht="4.3499999999999996" customHeight="1" x14ac:dyDescent="0.15">
      <c r="A26" s="773"/>
      <c r="B26" s="773"/>
      <c r="C26" s="877"/>
      <c r="D26" s="770"/>
      <c r="E26" s="770"/>
      <c r="F26" s="776"/>
      <c r="G26" s="777"/>
    </row>
    <row r="27" spans="1:14" s="769" customFormat="1" ht="30" customHeight="1" x14ac:dyDescent="0.15">
      <c r="A27" s="1121" t="s">
        <v>659</v>
      </c>
      <c r="B27" s="1121"/>
      <c r="C27" s="1126"/>
      <c r="D27" s="1122" t="s">
        <v>660</v>
      </c>
      <c r="E27" s="1121"/>
      <c r="F27" s="1123"/>
      <c r="G27" s="1124"/>
      <c r="K27" s="775"/>
      <c r="L27" s="775"/>
      <c r="M27" s="775"/>
      <c r="N27" s="775"/>
    </row>
    <row r="28" spans="1:14" s="769" customFormat="1" ht="4.3499999999999996" customHeight="1" x14ac:dyDescent="0.15">
      <c r="A28" s="770"/>
      <c r="B28" s="770"/>
      <c r="C28" s="875"/>
      <c r="D28" s="770"/>
      <c r="E28" s="770"/>
      <c r="F28" s="771"/>
      <c r="G28" s="777"/>
    </row>
    <row r="29" spans="1:14" s="769" customFormat="1" ht="30" customHeight="1" x14ac:dyDescent="0.15">
      <c r="A29" s="805" t="s">
        <v>661</v>
      </c>
      <c r="B29" s="800" t="s">
        <v>656</v>
      </c>
      <c r="C29" s="877"/>
      <c r="D29" s="795" t="s">
        <v>662</v>
      </c>
      <c r="E29" s="781"/>
      <c r="F29" s="1128"/>
      <c r="G29" s="788" t="str">
        <f>IF(AND(ISBLANK(F29),C29="x",$N$8&gt;0),"Attenzione: domanda a risposta obbligatoria",IF(ISBLANK(F29),"",IF(ISNUMBER(F29),IF(F29-INT(F29)=0,"","  Errore ! Inserire un numero intero senza decimali"),"  Errore ! Inserire un numero intero senza decimali")))</f>
        <v/>
      </c>
      <c r="H29" s="781"/>
      <c r="I29" s="781"/>
      <c r="J29" s="781"/>
      <c r="K29" s="782" t="str">
        <f>LEFT(A29,3)</f>
        <v>ORG</v>
      </c>
      <c r="L29" s="782" t="str">
        <f>RIGHT(A29,3)</f>
        <v>189</v>
      </c>
      <c r="M29" s="782" t="str">
        <f>B29</f>
        <v>INT</v>
      </c>
      <c r="N29" s="782" t="str">
        <f>IF(ISNUMBER(F29),ROUND(F29,0),"")</f>
        <v/>
      </c>
    </row>
    <row r="30" spans="1:14" s="769" customFormat="1" ht="4.3499999999999996" customHeight="1" x14ac:dyDescent="0.15">
      <c r="A30" s="808"/>
      <c r="B30" s="1139"/>
      <c r="C30" s="877"/>
      <c r="D30" s="796"/>
      <c r="E30" s="796"/>
      <c r="F30" s="802"/>
      <c r="G30" s="803"/>
      <c r="H30" s="781"/>
      <c r="I30" s="1140"/>
      <c r="J30" s="810"/>
      <c r="K30" s="781"/>
      <c r="L30" s="781"/>
      <c r="M30" s="781"/>
      <c r="N30" s="781"/>
    </row>
    <row r="31" spans="1:14" s="769" customFormat="1" ht="30" customHeight="1" x14ac:dyDescent="0.15">
      <c r="A31" s="805" t="s">
        <v>663</v>
      </c>
      <c r="B31" s="800" t="s">
        <v>656</v>
      </c>
      <c r="C31" s="877"/>
      <c r="D31" s="795" t="s">
        <v>664</v>
      </c>
      <c r="E31" s="781"/>
      <c r="F31" s="1128"/>
      <c r="G31" s="788" t="str">
        <f>IF(AND(ISBLANK(F31),C31="x",$N$8&gt;0),"Attenzione: domanda a risposta obbligatoria",IF(ISBLANK(F31),"",IF(ISNUMBER(F31),IF(F31-INT(F31)=0,"","  Errore ! Inserire un numero intero senza decimali"),"  Errore ! Inserire un numero intero senza decimali")))</f>
        <v/>
      </c>
      <c r="H31" s="781"/>
      <c r="I31" s="781"/>
      <c r="J31" s="781"/>
      <c r="K31" s="782" t="str">
        <f>LEFT(A31,3)</f>
        <v>ORG</v>
      </c>
      <c r="L31" s="782" t="str">
        <f>RIGHT(A31,3)</f>
        <v>268</v>
      </c>
      <c r="M31" s="782" t="str">
        <f>B31</f>
        <v>INT</v>
      </c>
      <c r="N31" s="782" t="str">
        <f>IF(ISNUMBER(F31),ROUND(F31,0),"")</f>
        <v/>
      </c>
    </row>
    <row r="32" spans="1:14" s="769" customFormat="1" ht="4.3499999999999996" customHeight="1" x14ac:dyDescent="0.15">
      <c r="A32" s="808"/>
      <c r="B32" s="1139"/>
      <c r="C32" s="877"/>
      <c r="D32" s="796"/>
      <c r="E32" s="796"/>
      <c r="F32" s="802"/>
      <c r="G32" s="803"/>
      <c r="H32" s="781"/>
      <c r="I32" s="1140"/>
      <c r="J32" s="810"/>
      <c r="K32" s="781"/>
      <c r="L32" s="781"/>
      <c r="M32" s="781"/>
      <c r="N32" s="781"/>
    </row>
    <row r="33" spans="1:14" s="769" customFormat="1" ht="30" customHeight="1" x14ac:dyDescent="0.15">
      <c r="A33" s="805" t="s">
        <v>669</v>
      </c>
      <c r="B33" s="800" t="s">
        <v>656</v>
      </c>
      <c r="C33" s="877"/>
      <c r="D33" s="1141" t="s">
        <v>800</v>
      </c>
      <c r="E33" s="781"/>
      <c r="F33" s="1128"/>
      <c r="G33" s="788" t="str">
        <f>IF(AND(ISBLANK(F33),C33="x",$N$8&gt;0),"Attenzione: domanda a risposta obbligatoria",IF(ISBLANK(F33),"",IF(ISNUMBER(F33),IF(F33-INT(F33)=0,"","  Errore ! Inserire un numero intero senza decimali"),"  Errore ! Inserire un numero intero senza decimali")))</f>
        <v/>
      </c>
      <c r="H33" s="781"/>
      <c r="I33" s="781"/>
      <c r="J33" s="781"/>
      <c r="K33" s="782" t="str">
        <f>LEFT(A35,3)</f>
        <v>ORG</v>
      </c>
      <c r="L33" s="782" t="str">
        <f>RIGHT(A33,3)</f>
        <v>136</v>
      </c>
      <c r="M33" s="782" t="str">
        <f>B35</f>
        <v>INT</v>
      </c>
      <c r="N33" s="782" t="str">
        <f>IF(ISNUMBER(F33),ROUND(F33,0),"")</f>
        <v/>
      </c>
    </row>
    <row r="34" spans="1:14" s="769" customFormat="1" ht="4.3499999999999996" customHeight="1" x14ac:dyDescent="0.15">
      <c r="A34" s="805"/>
      <c r="B34" s="1139"/>
      <c r="C34" s="877"/>
      <c r="D34" s="796"/>
      <c r="E34" s="796"/>
      <c r="F34" s="802"/>
      <c r="G34" s="803"/>
      <c r="H34" s="781"/>
      <c r="I34" s="1140"/>
      <c r="J34" s="810"/>
      <c r="K34" s="781"/>
      <c r="L34" s="781"/>
      <c r="M34" s="781"/>
      <c r="N34" s="781"/>
    </row>
    <row r="35" spans="1:14" s="769" customFormat="1" ht="30" customHeight="1" x14ac:dyDescent="0.15">
      <c r="A35" s="805" t="s">
        <v>665</v>
      </c>
      <c r="B35" s="800" t="s">
        <v>656</v>
      </c>
      <c r="C35" s="877"/>
      <c r="D35" s="795" t="s">
        <v>666</v>
      </c>
      <c r="E35" s="781"/>
      <c r="F35" s="1128"/>
      <c r="G35" s="788" t="str">
        <f>IF(AND(ISBLANK(F35),C35="x",$N$8&gt;0),"Attenzione: domanda a risposta obbligatoria",IF(ISBLANK(F35),"",IF(ISNUMBER(F35),IF(F35-INT(F35)=0,"","  Errore ! Inserire un numero intero senza decimali"),"  Errore ! Inserire un numero intero senza decimali")))</f>
        <v/>
      </c>
      <c r="H35" s="781"/>
      <c r="I35" s="781"/>
      <c r="J35" s="781"/>
      <c r="K35" s="782" t="str">
        <f>LEFT(A39,3)</f>
        <v>ORG</v>
      </c>
      <c r="L35" s="782" t="str">
        <f>RIGHT(A35,3)</f>
        <v>269</v>
      </c>
      <c r="M35" s="782" t="str">
        <f>B39</f>
        <v>INT</v>
      </c>
      <c r="N35" s="782" t="str">
        <f>IF(ISNUMBER(F35),ROUND(F35,0),"")</f>
        <v/>
      </c>
    </row>
    <row r="36" spans="1:14" s="769" customFormat="1" ht="4.3499999999999996" customHeight="1" x14ac:dyDescent="0.15">
      <c r="A36" s="805"/>
      <c r="B36" s="1139"/>
      <c r="C36" s="877"/>
      <c r="D36" s="796"/>
      <c r="E36" s="796"/>
      <c r="F36" s="802"/>
      <c r="G36" s="803"/>
      <c r="H36" s="781"/>
      <c r="I36" s="1140"/>
      <c r="J36" s="810"/>
      <c r="K36" s="781"/>
      <c r="L36" s="781"/>
      <c r="M36" s="781"/>
      <c r="N36" s="781"/>
    </row>
    <row r="37" spans="1:14" s="769" customFormat="1" ht="30" customHeight="1" x14ac:dyDescent="0.15">
      <c r="A37" s="805" t="s">
        <v>670</v>
      </c>
      <c r="B37" s="800" t="s">
        <v>656</v>
      </c>
      <c r="C37" s="877"/>
      <c r="D37" s="1141" t="s">
        <v>1008</v>
      </c>
      <c r="E37" s="781"/>
      <c r="F37" s="1128"/>
      <c r="G37" s="788" t="str">
        <f>IF(AND(ISBLANK(F37),C37="x",$N$8&gt;0),"Attenzione: domanda a risposta obbligatoria",IF(ISBLANK(F37),"",IF(ISNUMBER(F37),IF(F37-INT(F37)=0,"","  Errore ! Inserire un numero intero senza decimali"),"  Errore ! Inserire un numero intero senza decimali")))</f>
        <v/>
      </c>
      <c r="H37" s="781"/>
      <c r="I37" s="781"/>
      <c r="J37" s="781"/>
      <c r="K37" s="782" t="str">
        <f>LEFT(A33,3)</f>
        <v>ORG</v>
      </c>
      <c r="L37" s="782" t="str">
        <f>RIGHT(A37,3)</f>
        <v>179</v>
      </c>
      <c r="M37" s="782" t="str">
        <f>B33</f>
        <v>INT</v>
      </c>
      <c r="N37" s="782" t="str">
        <f>IF(ISNUMBER(F37),ROUND(F37,0),"")</f>
        <v/>
      </c>
    </row>
    <row r="38" spans="1:14" s="769" customFormat="1" ht="4.3499999999999996" customHeight="1" x14ac:dyDescent="0.15">
      <c r="A38" s="805"/>
      <c r="B38" s="1139"/>
      <c r="C38" s="877"/>
      <c r="D38" s="1142"/>
      <c r="E38" s="796"/>
      <c r="F38" s="802"/>
      <c r="G38" s="803"/>
      <c r="H38" s="781"/>
      <c r="I38" s="1140"/>
      <c r="J38" s="810"/>
      <c r="K38" s="781"/>
      <c r="L38" s="781"/>
      <c r="M38" s="781"/>
      <c r="N38" s="781"/>
    </row>
    <row r="39" spans="1:14" s="769" customFormat="1" ht="30" customHeight="1" x14ac:dyDescent="0.15">
      <c r="A39" s="805" t="s">
        <v>667</v>
      </c>
      <c r="B39" s="800" t="s">
        <v>656</v>
      </c>
      <c r="C39" s="877"/>
      <c r="D39" s="795" t="s">
        <v>668</v>
      </c>
      <c r="E39" s="781"/>
      <c r="F39" s="1128"/>
      <c r="G39" s="788" t="str">
        <f>IF(AND(ISBLANK(F39),C39="x",$N$8&gt;0),"Attenzione: domanda a risposta obbligatoria",IF(ISBLANK(F39),"",IF(ISNUMBER(F39),IF(F39-INT(F39)=0,"","  Errore ! Inserire un numero intero senza decimali"),"  Errore ! Inserire un numero intero senza decimali")))</f>
        <v/>
      </c>
      <c r="H39" s="781"/>
      <c r="I39" s="781"/>
      <c r="J39" s="781"/>
      <c r="K39" s="782" t="str">
        <f>LEFT(A37,3)</f>
        <v>ORG</v>
      </c>
      <c r="L39" s="782" t="str">
        <f>RIGHT(A39,3)</f>
        <v>270</v>
      </c>
      <c r="M39" s="782" t="str">
        <f>B37</f>
        <v>INT</v>
      </c>
      <c r="N39" s="782" t="str">
        <f>IF(ISNUMBER(F39),ROUND(F39,0),"")</f>
        <v/>
      </c>
    </row>
    <row r="40" spans="1:14" s="769" customFormat="1" ht="4.3499999999999996" customHeight="1" x14ac:dyDescent="0.15">
      <c r="A40" s="805"/>
      <c r="B40" s="1139"/>
      <c r="C40" s="877"/>
      <c r="D40" s="1142"/>
      <c r="E40" s="796"/>
      <c r="F40" s="802"/>
      <c r="G40" s="803"/>
      <c r="H40" s="781"/>
      <c r="I40" s="1140"/>
      <c r="J40" s="810"/>
      <c r="K40" s="781"/>
      <c r="L40" s="781"/>
      <c r="M40" s="781"/>
      <c r="N40" s="781"/>
    </row>
    <row r="41" spans="1:14" s="769" customFormat="1" ht="30" customHeight="1" x14ac:dyDescent="0.15">
      <c r="A41" s="805" t="s">
        <v>671</v>
      </c>
      <c r="B41" s="800" t="s">
        <v>656</v>
      </c>
      <c r="C41" s="877"/>
      <c r="D41" s="1141" t="s">
        <v>801</v>
      </c>
      <c r="E41" s="781"/>
      <c r="F41" s="1128"/>
      <c r="G41" s="788" t="str">
        <f>IF(AND(ISBLANK(F41),C41="x",$N$8&gt;0),"Attenzione: domanda a risposta obbligatoria",IF(ISBLANK(F41),"",IF(ISNUMBER(F41),IF(F41-INT(F41)=0,"","  Errore ! Inserire un numero intero senza decimali"),"  Errore ! Inserire un numero intero senza decimali")))</f>
        <v/>
      </c>
      <c r="H41" s="781"/>
      <c r="I41" s="781"/>
      <c r="J41" s="781"/>
      <c r="K41" s="782" t="str">
        <f>LEFT(A41,3)</f>
        <v>ORG</v>
      </c>
      <c r="L41" s="782" t="str">
        <f>RIGHT(A41,3)</f>
        <v>161</v>
      </c>
      <c r="M41" s="782" t="str">
        <f>B41</f>
        <v>INT</v>
      </c>
      <c r="N41" s="782" t="str">
        <f>IF(ISNUMBER(F41),ROUND(F41,0),"")</f>
        <v/>
      </c>
    </row>
    <row r="42" spans="1:14" s="769" customFormat="1" ht="4.3499999999999996" customHeight="1" x14ac:dyDescent="0.15">
      <c r="A42" s="805"/>
      <c r="B42" s="1139"/>
      <c r="C42" s="877"/>
      <c r="D42" s="1142"/>
      <c r="E42" s="796"/>
      <c r="F42" s="802"/>
      <c r="G42" s="803"/>
      <c r="H42" s="781"/>
      <c r="I42" s="1140"/>
      <c r="J42" s="810"/>
      <c r="K42" s="781"/>
      <c r="L42" s="781"/>
      <c r="M42" s="781"/>
      <c r="N42" s="781"/>
    </row>
    <row r="43" spans="1:14" s="769" customFormat="1" ht="30" customHeight="1" x14ac:dyDescent="0.15">
      <c r="A43" s="805" t="s">
        <v>672</v>
      </c>
      <c r="B43" s="800" t="s">
        <v>656</v>
      </c>
      <c r="C43" s="877"/>
      <c r="D43" s="1141" t="s">
        <v>673</v>
      </c>
      <c r="E43" s="781"/>
      <c r="F43" s="1128"/>
      <c r="G43" s="788" t="str">
        <f>IF(AND(ISBLANK(F43),C43="x",$N$8&gt;0),"Attenzione: domanda a risposta obbligatoria",IF(ISBLANK(F43),"",IF(ISNUMBER(F43),IF(F43-INT(F43)=0,"","  Errore ! Inserire un numero intero senza decimali"),"  Errore ! Inserire un numero intero senza decimali")))</f>
        <v/>
      </c>
      <c r="H43" s="781"/>
      <c r="I43" s="781"/>
      <c r="J43" s="781"/>
      <c r="K43" s="782" t="str">
        <f>LEFT(A43,3)</f>
        <v>ORG</v>
      </c>
      <c r="L43" s="782" t="str">
        <f>RIGHT(A43,3)</f>
        <v>271</v>
      </c>
      <c r="M43" s="782" t="str">
        <f>B43</f>
        <v>INT</v>
      </c>
      <c r="N43" s="782" t="str">
        <f>IF(ISNUMBER(F43),ROUND(F43,0),"")</f>
        <v/>
      </c>
    </row>
    <row r="44" spans="1:14" s="769" customFormat="1" ht="4.3499999999999996" customHeight="1" x14ac:dyDescent="0.15">
      <c r="A44" s="805"/>
      <c r="B44" s="1139"/>
      <c r="C44" s="877"/>
      <c r="D44" s="1142"/>
      <c r="E44" s="796"/>
      <c r="F44" s="802"/>
      <c r="G44" s="803"/>
      <c r="H44" s="781"/>
      <c r="I44" s="1140"/>
      <c r="J44" s="810"/>
      <c r="K44" s="781"/>
      <c r="L44" s="781"/>
      <c r="M44" s="781"/>
      <c r="N44" s="781"/>
    </row>
    <row r="45" spans="1:14" s="769" customFormat="1" ht="30" customHeight="1" x14ac:dyDescent="0.15">
      <c r="A45" s="805" t="s">
        <v>674</v>
      </c>
      <c r="B45" s="800" t="s">
        <v>656</v>
      </c>
      <c r="C45" s="877"/>
      <c r="D45" s="1141" t="s">
        <v>802</v>
      </c>
      <c r="E45" s="781"/>
      <c r="F45" s="1128"/>
      <c r="G45" s="788" t="str">
        <f>IF(AND(ISBLANK(F45),C45="x",$N$8&gt;0),"Attenzione: domanda a risposta obbligatoria",IF(ISBLANK(F45),"",IF(ISNUMBER(F45),IF(F45-INT(F45)=0,"","  Errore ! Inserire un numero intero senza decimali"),"  Errore ! Inserire un numero intero senza decimali")))</f>
        <v/>
      </c>
      <c r="H45" s="781"/>
      <c r="I45" s="781"/>
      <c r="J45" s="781"/>
      <c r="K45" s="782" t="str">
        <f>LEFT(A45,3)</f>
        <v>ORG</v>
      </c>
      <c r="L45" s="782" t="str">
        <f>RIGHT(A45,3)</f>
        <v>272</v>
      </c>
      <c r="M45" s="782" t="str">
        <f>B45</f>
        <v>INT</v>
      </c>
      <c r="N45" s="782" t="str">
        <f>IF(ISNUMBER(F45),ROUND(F45,0),"")</f>
        <v/>
      </c>
    </row>
    <row r="46" spans="1:14" s="769" customFormat="1" ht="4.3499999999999996" customHeight="1" x14ac:dyDescent="0.15">
      <c r="A46" s="780"/>
      <c r="B46" s="780"/>
      <c r="C46" s="875"/>
      <c r="D46" s="770"/>
      <c r="E46" s="770"/>
      <c r="F46" s="771"/>
      <c r="G46" s="785"/>
      <c r="I46" s="1143"/>
      <c r="J46" s="786"/>
    </row>
    <row r="47" spans="1:14" s="769" customFormat="1" ht="30" customHeight="1" x14ac:dyDescent="0.15">
      <c r="A47" s="1121" t="s">
        <v>675</v>
      </c>
      <c r="B47" s="1121"/>
      <c r="C47" s="1126"/>
      <c r="D47" s="1122" t="s">
        <v>799</v>
      </c>
      <c r="E47" s="1121"/>
      <c r="F47" s="1123"/>
      <c r="G47" s="1124"/>
      <c r="K47" s="775"/>
      <c r="L47" s="775"/>
      <c r="M47" s="775"/>
      <c r="N47" s="775"/>
    </row>
    <row r="48" spans="1:14" s="769" customFormat="1" ht="4.3499999999999996" customHeight="1" x14ac:dyDescent="0.15">
      <c r="A48" s="770"/>
      <c r="B48" s="770"/>
      <c r="C48" s="875"/>
      <c r="D48" s="770"/>
      <c r="E48" s="770"/>
      <c r="F48" s="771"/>
      <c r="G48" s="785"/>
      <c r="I48" s="1143"/>
      <c r="J48" s="786"/>
    </row>
    <row r="49" spans="1:14" s="769" customFormat="1" ht="30" customHeight="1" x14ac:dyDescent="0.15">
      <c r="A49" s="783" t="s">
        <v>676</v>
      </c>
      <c r="B49" s="774" t="s">
        <v>656</v>
      </c>
      <c r="C49" s="875"/>
      <c r="D49" s="768" t="s">
        <v>803</v>
      </c>
      <c r="F49" s="1138"/>
      <c r="G49" s="788" t="str">
        <f>IF(AND(ISBLANK(F49),C49="x",$N$8&gt;0),"Attenzione: domanda a risposta obbligatoria",IF(ISBLANK(F49),"",IF(ISNUMBER(F49),IF(F49-INT(F49)=0,"","  Errore ! Inserire un numero intero senza decimali"),"  Errore ! Inserire un numero intero senza decimali")))</f>
        <v/>
      </c>
      <c r="K49" s="775" t="str">
        <f>LEFT(A49,3)</f>
        <v>PRD</v>
      </c>
      <c r="L49" s="775" t="str">
        <f>RIGHT(A49,3)</f>
        <v>137</v>
      </c>
      <c r="M49" s="775" t="str">
        <f>B49</f>
        <v>INT</v>
      </c>
      <c r="N49" s="775" t="str">
        <f>IF(ISNUMBER(F49),ROUND(F49,0),"")</f>
        <v/>
      </c>
    </row>
    <row r="50" spans="1:14" s="769" customFormat="1" ht="4.3499999999999996" customHeight="1" x14ac:dyDescent="0.15">
      <c r="A50" s="783"/>
      <c r="B50" s="783"/>
      <c r="C50" s="875"/>
      <c r="D50" s="770"/>
      <c r="E50" s="770"/>
      <c r="F50" s="771"/>
      <c r="G50" s="777"/>
    </row>
    <row r="51" spans="1:14" s="769" customFormat="1" ht="30" customHeight="1" x14ac:dyDescent="0.15">
      <c r="A51" s="783" t="s">
        <v>677</v>
      </c>
      <c r="B51" s="774" t="s">
        <v>656</v>
      </c>
      <c r="C51" s="875"/>
      <c r="D51" s="768" t="s">
        <v>804</v>
      </c>
      <c r="F51" s="1138"/>
      <c r="G51" s="788" t="str">
        <f>IF(AND(ISBLANK(F51),C51="x",$N$8&gt;0),"Attenzione: domanda a risposta obbligatoria",IF(ISBLANK(F51),"",IF(ISNUMBER(F51),IF(F51-INT(F51)=0,"","  Errore ! Inserire un numero intero senza decimali"),"  Errore ! Inserire un numero intero senza decimali")))</f>
        <v/>
      </c>
      <c r="K51" s="775" t="str">
        <f>LEFT(A51,3)</f>
        <v>PRD</v>
      </c>
      <c r="L51" s="775" t="str">
        <f>RIGHT(A51,3)</f>
        <v>115</v>
      </c>
      <c r="M51" s="775" t="str">
        <f>B51</f>
        <v>INT</v>
      </c>
      <c r="N51" s="775" t="str">
        <f>IF(ISNUMBER(F51),ROUND(F51,0),"")</f>
        <v/>
      </c>
    </row>
    <row r="52" spans="1:14" s="769" customFormat="1" ht="4.3499999999999996" customHeight="1" x14ac:dyDescent="0.15">
      <c r="A52" s="783"/>
      <c r="B52" s="783"/>
      <c r="C52" s="875"/>
      <c r="D52" s="770"/>
      <c r="E52" s="770"/>
      <c r="F52" s="771"/>
      <c r="G52" s="777"/>
    </row>
    <row r="53" spans="1:14" s="832" customFormat="1" ht="30" customHeight="1" x14ac:dyDescent="0.15">
      <c r="A53" s="828" t="s">
        <v>1124</v>
      </c>
      <c r="B53" s="830" t="s">
        <v>653</v>
      </c>
      <c r="C53" s="1159"/>
      <c r="D53" s="829" t="s">
        <v>1125</v>
      </c>
      <c r="F53" s="1362"/>
      <c r="G53" s="1363" t="str">
        <f>IF(AND(ISBLANK(F53),C53="x",$N$8&gt;0),"Attenzione: domanda a risposta obbligatoria",IF(ISBLANK(F53),"",IF(AND(LEN(F53)=1,OR(UPPER(F53)="N",UPPER(F53)="S")),"",IF(ISBLANK(F53),"","  Errore ! Inserire S o N"))))</f>
        <v/>
      </c>
      <c r="K53" s="1364" t="str">
        <f>LEFT(A53,3)</f>
        <v>PRD</v>
      </c>
      <c r="L53" s="1364" t="str">
        <f>RIGHT(A53,3)</f>
        <v>480</v>
      </c>
      <c r="M53" s="1364" t="str">
        <f>B53</f>
        <v>FLAG</v>
      </c>
      <c r="N53" s="1365" t="str">
        <f>IF(AND(LEN(F53)=1,OR(UPPER(F53)="N",UPPER(F53)="S")),UPPER(F53),"")</f>
        <v/>
      </c>
    </row>
    <row r="54" spans="1:14" s="832" customFormat="1" ht="4.3499999999999996" customHeight="1" x14ac:dyDescent="0.15">
      <c r="A54" s="828"/>
      <c r="B54" s="828"/>
      <c r="C54" s="1159"/>
      <c r="D54" s="1374"/>
      <c r="E54" s="1132"/>
      <c r="F54" s="1133"/>
      <c r="G54" s="1366"/>
    </row>
    <row r="55" spans="1:14" s="832" customFormat="1" ht="30" customHeight="1" x14ac:dyDescent="0.15">
      <c r="A55" s="828" t="s">
        <v>1126</v>
      </c>
      <c r="B55" s="830" t="s">
        <v>656</v>
      </c>
      <c r="C55" s="1159"/>
      <c r="D55" s="829" t="s">
        <v>1127</v>
      </c>
      <c r="F55" s="1157"/>
      <c r="G55" s="1363" t="str">
        <f>IF(AND(ISBLANK(F55),C55="x",$N$8&gt;0),"Attenzione: domanda a risposta obbligatoria",IF(ISBLANK(F55),"",IF(ISNUMBER(F55),IF(F55-INT(F55)=0,"","  Errore ! Inserire un numero intero senza decimali"),"  Errore ! Inserire un numero intero senza decimali")))</f>
        <v/>
      </c>
      <c r="K55" s="1364" t="str">
        <f>LEFT(A55,3)</f>
        <v>PRD</v>
      </c>
      <c r="L55" s="1364" t="str">
        <f>RIGHT(A55,3)</f>
        <v>481</v>
      </c>
      <c r="M55" s="1364" t="str">
        <f>B55</f>
        <v>INT</v>
      </c>
      <c r="N55" s="1364" t="str">
        <f>IF(ISNUMBER(F55),ROUND(F55,0),"")</f>
        <v/>
      </c>
    </row>
    <row r="56" spans="1:14" s="832" customFormat="1" ht="4.3499999999999996" customHeight="1" x14ac:dyDescent="0.15">
      <c r="A56" s="828"/>
      <c r="B56" s="828"/>
      <c r="C56" s="1159"/>
      <c r="D56" s="1374"/>
      <c r="E56" s="1132"/>
      <c r="F56" s="1133"/>
      <c r="G56" s="1366"/>
    </row>
    <row r="57" spans="1:14" s="832" customFormat="1" ht="30" customHeight="1" x14ac:dyDescent="0.15">
      <c r="A57" s="828" t="s">
        <v>1128</v>
      </c>
      <c r="B57" s="830" t="s">
        <v>656</v>
      </c>
      <c r="C57" s="1159"/>
      <c r="D57" s="829" t="s">
        <v>1129</v>
      </c>
      <c r="F57" s="1157"/>
      <c r="G57" s="1363" t="str">
        <f>IF(AND(ISBLANK(F57),C57="x",$N$8&gt;0),"Attenzione: domanda a risposta obbligatoria",IF(ISBLANK(F57),"",IF(ISNUMBER(F57),IF(F57-INT(F57)=0,"","  Errore ! Inserire un numero intero senza decimali"),"  Errore ! Inserire un numero intero senza decimali")))</f>
        <v/>
      </c>
      <c r="K57" s="1364" t="str">
        <f>LEFT(A57,3)</f>
        <v>PRD</v>
      </c>
      <c r="L57" s="1364" t="str">
        <f>RIGHT(A57,3)</f>
        <v>482</v>
      </c>
      <c r="M57" s="1364" t="str">
        <f>B57</f>
        <v>INT</v>
      </c>
      <c r="N57" s="1364" t="str">
        <f>IF(ISNUMBER(F57),ROUND(F57,0),"")</f>
        <v/>
      </c>
    </row>
    <row r="58" spans="1:14" s="832" customFormat="1" ht="4.3499999999999996" customHeight="1" x14ac:dyDescent="0.15">
      <c r="A58" s="828"/>
      <c r="B58" s="828"/>
      <c r="D58" s="1367"/>
      <c r="E58" s="1132"/>
      <c r="F58" s="1133"/>
      <c r="G58" s="1366"/>
    </row>
    <row r="59" spans="1:14" s="781" customFormat="1" ht="30" customHeight="1" x14ac:dyDescent="0.15">
      <c r="A59" s="805" t="s">
        <v>1196</v>
      </c>
      <c r="B59" s="841" t="s">
        <v>653</v>
      </c>
      <c r="C59" s="1136"/>
      <c r="D59" s="806" t="s">
        <v>1197</v>
      </c>
      <c r="F59" s="1128"/>
      <c r="G59" s="1385" t="str">
        <f>IF(AND(ISBLANK(F59),C59="x",$N$8&gt;0),"Attenzione: domanda a risposta obbligatoria",IF(ISBLANK(F59),"",IF(AND(LEN(F59)=1,OR(UPPER(F59)="N",UPPER(F59)="S")),"",IF(ISBLANK(F59),"","  Errore ! Inserire S o N"))))</f>
        <v/>
      </c>
      <c r="K59" s="782" t="str">
        <f>LEFT(A59,3)</f>
        <v>PRD</v>
      </c>
      <c r="L59" s="782" t="str">
        <f>RIGHT(A59,3)</f>
        <v>541</v>
      </c>
      <c r="M59" s="782" t="str">
        <f>B59</f>
        <v>FLAG</v>
      </c>
      <c r="N59" s="1365" t="str">
        <f>IF(AND(LEN(F59)=1,OR(UPPER(F59)="N",UPPER(F59)="S")),UPPER(F59),"")</f>
        <v/>
      </c>
    </row>
    <row r="60" spans="1:14" s="781" customFormat="1" ht="4.3499999999999996" customHeight="1" x14ac:dyDescent="0.15">
      <c r="A60" s="805"/>
      <c r="B60" s="805"/>
      <c r="C60" s="1136"/>
      <c r="D60" s="1386"/>
      <c r="E60" s="796"/>
      <c r="F60" s="802"/>
      <c r="G60" s="803"/>
    </row>
    <row r="61" spans="1:14" s="781" customFormat="1" ht="30" customHeight="1" x14ac:dyDescent="0.15">
      <c r="A61" s="805" t="s">
        <v>1198</v>
      </c>
      <c r="B61" s="841" t="s">
        <v>653</v>
      </c>
      <c r="C61" s="1136"/>
      <c r="D61" s="806" t="s">
        <v>1199</v>
      </c>
      <c r="F61" s="1128"/>
      <c r="G61" s="1385" t="str">
        <f>IF(AND(ISBLANK(F61),C61="x",$N$8&gt;0),"Attenzione: domanda a risposta obbligatoria",IF(ISBLANK(F61),"",IF(AND(LEN(F61)=1,OR(UPPER(F61)="N",UPPER(F61)="S")),"",IF(ISBLANK(F61),"","  Errore ! Inserire S o N"))))</f>
        <v/>
      </c>
      <c r="K61" s="782" t="str">
        <f>LEFT(A61,3)</f>
        <v>PRD</v>
      </c>
      <c r="L61" s="782" t="str">
        <f>RIGHT(A61,3)</f>
        <v>542</v>
      </c>
      <c r="M61" s="782" t="str">
        <f>B61</f>
        <v>FLAG</v>
      </c>
      <c r="N61" s="1365" t="str">
        <f>IF(AND(LEN(F61)=1,OR(UPPER(F61)="N",UPPER(F61)="S")),UPPER(F61),"")</f>
        <v/>
      </c>
    </row>
    <row r="62" spans="1:14" s="781" customFormat="1" ht="4.3499999999999996" customHeight="1" x14ac:dyDescent="0.15">
      <c r="A62" s="805"/>
      <c r="B62" s="805"/>
      <c r="C62" s="1136"/>
      <c r="D62" s="1387"/>
      <c r="E62" s="796"/>
      <c r="F62" s="802"/>
      <c r="G62" s="803"/>
    </row>
    <row r="63" spans="1:14" s="781" customFormat="1" ht="35.1" customHeight="1" x14ac:dyDescent="0.15">
      <c r="A63" s="1121" t="s">
        <v>1028</v>
      </c>
      <c r="B63" s="1121"/>
      <c r="C63" s="1126"/>
      <c r="D63" s="1122" t="s">
        <v>1029</v>
      </c>
      <c r="E63" s="1121"/>
      <c r="F63" s="1123"/>
      <c r="G63" s="788" t="str">
        <f>IF(AND(LEN(F63)=1,OR(UPPER(F63)="N",UPPER(F63)="S")),"",IF(ISBLANK(F63),"","  Errore ! Inserire S o N"))</f>
        <v/>
      </c>
    </row>
    <row r="64" spans="1:14" s="781" customFormat="1" ht="4.3499999999999996" customHeight="1" x14ac:dyDescent="0.15">
      <c r="A64" s="1155"/>
      <c r="B64" s="1155"/>
      <c r="C64" s="1161"/>
      <c r="D64" s="1162"/>
      <c r="E64" s="796"/>
      <c r="F64" s="802"/>
      <c r="G64" s="803"/>
    </row>
    <row r="65" spans="1:14" s="781" customFormat="1" ht="30" customHeight="1" x14ac:dyDescent="0.15">
      <c r="A65" s="805" t="s">
        <v>1190</v>
      </c>
      <c r="B65" s="841" t="s">
        <v>656</v>
      </c>
      <c r="C65" s="1136"/>
      <c r="D65" s="806" t="s">
        <v>1191</v>
      </c>
      <c r="F65" s="1128"/>
      <c r="G65" s="788" t="str">
        <f>IF(AND(ISBLANK(F65),C65="x",$N$8&gt;0),"Attenzione: domanda a risposta obbligatoria",IF(ISBLANK(F65),"",IF(ISNUMBER(F65),IF(F65-INT(F65)=0,"","  Errore ! Inserire un numero intero senza decimali"),"  Errore ! Inserire un numero intero senza decimali")))</f>
        <v/>
      </c>
      <c r="K65" s="782" t="str">
        <f>LEFT(A65,3)</f>
        <v>WLF</v>
      </c>
      <c r="L65" s="782" t="str">
        <f>RIGHT(A65,3)</f>
        <v>529</v>
      </c>
      <c r="M65" s="782" t="str">
        <f>B65</f>
        <v>INT</v>
      </c>
      <c r="N65" s="782" t="str">
        <f>IF(ISNUMBER(F65),ROUND(F65,0),"")</f>
        <v/>
      </c>
    </row>
    <row r="66" spans="1:14" s="781" customFormat="1" ht="4.3499999999999996" customHeight="1" x14ac:dyDescent="0.15">
      <c r="A66" s="805"/>
      <c r="B66" s="805"/>
      <c r="C66" s="1136"/>
      <c r="D66" s="852"/>
      <c r="E66" s="796"/>
      <c r="F66" s="802"/>
      <c r="G66" s="803"/>
    </row>
    <row r="67" spans="1:14" s="781" customFormat="1" ht="30" customHeight="1" x14ac:dyDescent="0.15">
      <c r="A67" s="805" t="s">
        <v>1032</v>
      </c>
      <c r="B67" s="841" t="s">
        <v>656</v>
      </c>
      <c r="C67" s="1136"/>
      <c r="D67" s="806" t="s">
        <v>1037</v>
      </c>
      <c r="F67" s="1128"/>
      <c r="G67" s="788" t="str">
        <f>IF(AND(ISBLANK(F67),C67="x",$N$8&gt;0),"Attenzione: domanda a risposta obbligatoria",IF(ISBLANK(F67),"",IF(ISNUMBER(F67),IF(F67-INT(F67)=0,"","  Errore ! Inserire un numero intero senza decimali"),"  Errore ! Inserire un numero intero senza decimali")))</f>
        <v/>
      </c>
      <c r="K67" s="782" t="str">
        <f>LEFT(A67,3)</f>
        <v>WLF</v>
      </c>
      <c r="L67" s="782" t="str">
        <f>RIGHT(A67,3)</f>
        <v>467</v>
      </c>
      <c r="M67" s="782" t="str">
        <f>B67</f>
        <v>INT</v>
      </c>
      <c r="N67" s="782" t="str">
        <f>IF(ISNUMBER(F67),ROUND(F67,0),"")</f>
        <v/>
      </c>
    </row>
    <row r="68" spans="1:14" s="781" customFormat="1" ht="4.3499999999999996" customHeight="1" x14ac:dyDescent="0.15">
      <c r="A68" s="805"/>
      <c r="B68" s="805"/>
      <c r="C68" s="1136"/>
      <c r="D68" s="852"/>
      <c r="E68" s="796"/>
      <c r="F68" s="802"/>
      <c r="G68" s="803"/>
    </row>
    <row r="69" spans="1:14" s="781" customFormat="1" ht="30" customHeight="1" x14ac:dyDescent="0.15">
      <c r="A69" s="805" t="s">
        <v>1033</v>
      </c>
      <c r="B69" s="841" t="s">
        <v>656</v>
      </c>
      <c r="C69" s="1136"/>
      <c r="D69" s="806" t="s">
        <v>1038</v>
      </c>
      <c r="F69" s="1128"/>
      <c r="G69" s="788" t="str">
        <f>IF(AND(ISBLANK(F69),C69="x",$N$8&gt;0),"Attenzione: domanda a risposta obbligatoria",IF(ISBLANK(F69),"",IF(ISNUMBER(F69),IF(F69-INT(F69)=0,"","  Errore ! Inserire un numero intero senza decimali"),"  Errore ! Inserire un numero intero senza decimali")))</f>
        <v/>
      </c>
      <c r="K69" s="782" t="str">
        <f>LEFT(A69,3)</f>
        <v>WLF</v>
      </c>
      <c r="L69" s="782" t="str">
        <f>RIGHT(A69,3)</f>
        <v>468</v>
      </c>
      <c r="M69" s="782" t="str">
        <f>B69</f>
        <v>INT</v>
      </c>
      <c r="N69" s="782" t="str">
        <f>IF(ISNUMBER(F69),ROUND(F69,0),"")</f>
        <v/>
      </c>
    </row>
    <row r="70" spans="1:14" s="781" customFormat="1" ht="4.3499999999999996" customHeight="1" x14ac:dyDescent="0.15">
      <c r="A70" s="805"/>
      <c r="B70" s="805"/>
      <c r="C70" s="1136"/>
      <c r="D70" s="852"/>
      <c r="E70" s="796"/>
      <c r="F70" s="802"/>
      <c r="G70" s="803"/>
    </row>
    <row r="71" spans="1:14" s="781" customFormat="1" ht="30" customHeight="1" x14ac:dyDescent="0.15">
      <c r="A71" s="805" t="s">
        <v>1034</v>
      </c>
      <c r="B71" s="841" t="s">
        <v>656</v>
      </c>
      <c r="C71" s="1136"/>
      <c r="D71" s="806" t="s">
        <v>1039</v>
      </c>
      <c r="F71" s="1128"/>
      <c r="G71" s="788" t="str">
        <f>IF(AND(ISBLANK(F71),C71="x",$N$8&gt;0),"Attenzione: domanda a risposta obbligatoria",IF(ISBLANK(F71),"",IF(ISNUMBER(F71),IF(F71-INT(F71)=0,"","  Errore ! Inserire un numero intero senza decimali"),"  Errore ! Inserire un numero intero senza decimali")))</f>
        <v/>
      </c>
      <c r="K71" s="782" t="str">
        <f>LEFT(A71,3)</f>
        <v>WLF</v>
      </c>
      <c r="L71" s="782" t="str">
        <f>RIGHT(A71,3)</f>
        <v>469</v>
      </c>
      <c r="M71" s="782" t="str">
        <f>B71</f>
        <v>INT</v>
      </c>
      <c r="N71" s="782" t="str">
        <f>IF(ISNUMBER(F71),ROUND(F71,0),"")</f>
        <v/>
      </c>
    </row>
    <row r="72" spans="1:14" s="781" customFormat="1" ht="4.3499999999999996" customHeight="1" x14ac:dyDescent="0.15">
      <c r="A72" s="805"/>
      <c r="B72" s="805"/>
      <c r="C72" s="1136"/>
      <c r="D72" s="852"/>
      <c r="E72" s="796"/>
      <c r="F72" s="802"/>
      <c r="G72" s="803"/>
    </row>
    <row r="73" spans="1:14" s="781" customFormat="1" ht="30" customHeight="1" x14ac:dyDescent="0.15">
      <c r="A73" s="805" t="s">
        <v>1192</v>
      </c>
      <c r="B73" s="841" t="s">
        <v>656</v>
      </c>
      <c r="C73" s="1136"/>
      <c r="D73" s="806" t="s">
        <v>1193</v>
      </c>
      <c r="F73" s="1128"/>
      <c r="G73" s="788" t="str">
        <f>IF(AND(ISBLANK(F73),C73="x",$N$8&gt;0),"Attenzione: domanda a risposta obbligatoria",IF(ISBLANK(F73),"",IF(ISNUMBER(F73),IF(F73-INT(F73)=0,"","  Errore ! Inserire un numero intero senza decimali"),"  Errore ! Inserire un numero intero senza decimali")))</f>
        <v/>
      </c>
      <c r="K73" s="782" t="str">
        <f>LEFT(A73,3)</f>
        <v>WLF</v>
      </c>
      <c r="L73" s="782" t="str">
        <f>RIGHT(A73,3)</f>
        <v>520</v>
      </c>
      <c r="M73" s="782" t="str">
        <f>B73</f>
        <v>INT</v>
      </c>
      <c r="N73" s="782" t="str">
        <f>IF(ISNUMBER(F73),ROUND(F73,0),"")</f>
        <v/>
      </c>
    </row>
    <row r="74" spans="1:14" s="781" customFormat="1" ht="4.3499999999999996" customHeight="1" x14ac:dyDescent="0.15">
      <c r="A74" s="805"/>
      <c r="B74" s="805"/>
      <c r="C74" s="1136"/>
      <c r="D74" s="852"/>
      <c r="E74" s="796"/>
      <c r="F74" s="802"/>
      <c r="G74" s="803"/>
    </row>
    <row r="75" spans="1:14" s="781" customFormat="1" ht="30" customHeight="1" x14ac:dyDescent="0.15">
      <c r="A75" s="805" t="s">
        <v>1036</v>
      </c>
      <c r="B75" s="841" t="s">
        <v>656</v>
      </c>
      <c r="C75" s="1136"/>
      <c r="D75" s="806" t="s">
        <v>1041</v>
      </c>
      <c r="F75" s="1128"/>
      <c r="G75" s="788" t="str">
        <f>IF(AND(ISBLANK(F75),C75="x",$N$8&gt;0),"Attenzione: domanda a risposta obbligatoria",IF(ISBLANK(F75),"",IF(ISNUMBER(F75),IF(F75-INT(F75)=0,"","  Errore ! Inserire un numero intero senza decimali"),"  Errore ! Inserire un numero intero senza decimali")))</f>
        <v/>
      </c>
      <c r="K75" s="782" t="str">
        <f>LEFT(A75,3)</f>
        <v>WLF</v>
      </c>
      <c r="L75" s="782" t="str">
        <f>RIGHT(A75,3)</f>
        <v>471</v>
      </c>
      <c r="M75" s="782" t="str">
        <f>B75</f>
        <v>INT</v>
      </c>
      <c r="N75" s="782" t="str">
        <f>IF(ISNUMBER(F75),ROUND(F75,0),"")</f>
        <v/>
      </c>
    </row>
    <row r="76" spans="1:14" s="781" customFormat="1" ht="4.3499999999999996" customHeight="1" x14ac:dyDescent="0.15">
      <c r="A76" s="805"/>
      <c r="B76" s="805"/>
      <c r="D76" s="852"/>
      <c r="E76" s="796"/>
      <c r="F76" s="802"/>
      <c r="G76" s="803"/>
    </row>
    <row r="77" spans="1:14" s="781" customFormat="1" ht="30" customHeight="1" x14ac:dyDescent="0.15">
      <c r="A77" s="805" t="s">
        <v>1194</v>
      </c>
      <c r="B77" s="841" t="s">
        <v>656</v>
      </c>
      <c r="D77" s="806" t="s">
        <v>1195</v>
      </c>
      <c r="E77" s="796"/>
      <c r="F77" s="1128"/>
      <c r="G77" s="788" t="str">
        <f>IF(AND(ISBLANK(F77),C77="x",$N$8&gt;0),"Attenzione: domanda a risposta obbligatoria",IF(ISBLANK(F77),"",IF(ISNUMBER(F77),IF(F77-INT(F77)=0,"","  Errore ! Inserire un numero intero senza decimali"),"  Errore ! Inserire un numero intero senza decimali")))</f>
        <v/>
      </c>
      <c r="K77" s="782" t="str">
        <f>LEFT(A77,3)</f>
        <v>WLF</v>
      </c>
      <c r="L77" s="782" t="str">
        <f>RIGHT(A77,3)</f>
        <v>521</v>
      </c>
      <c r="M77" s="782" t="str">
        <f>B77</f>
        <v>INT</v>
      </c>
      <c r="N77" s="782" t="str">
        <f>IF(ISNUMBER(F77),ROUND(F77,0),"")</f>
        <v/>
      </c>
    </row>
    <row r="78" spans="1:14" s="781" customFormat="1" ht="4.3499999999999996" customHeight="1" x14ac:dyDescent="0.15">
      <c r="A78" s="805"/>
      <c r="B78" s="805"/>
      <c r="D78" s="852"/>
      <c r="E78" s="796"/>
      <c r="F78" s="802"/>
      <c r="G78" s="803"/>
    </row>
    <row r="79" spans="1:14" s="769" customFormat="1" ht="30" customHeight="1" x14ac:dyDescent="0.15">
      <c r="A79" s="1121" t="s">
        <v>678</v>
      </c>
      <c r="B79" s="1121"/>
      <c r="C79" s="1122"/>
      <c r="D79" s="1122" t="s">
        <v>679</v>
      </c>
      <c r="E79" s="1144"/>
      <c r="F79" s="1145"/>
      <c r="G79" s="1124"/>
      <c r="K79" s="775"/>
      <c r="L79" s="775"/>
      <c r="M79" s="775"/>
    </row>
    <row r="80" spans="1:14" s="769" customFormat="1" ht="4.3499999999999996" customHeight="1" x14ac:dyDescent="0.15">
      <c r="A80" s="787"/>
      <c r="B80" s="787"/>
      <c r="D80" s="770"/>
      <c r="E80" s="770"/>
      <c r="F80" s="771"/>
      <c r="G80" s="785"/>
      <c r="I80" s="1143"/>
      <c r="J80" s="786"/>
    </row>
    <row r="81" spans="1:14" s="769" customFormat="1" ht="15" customHeight="1" x14ac:dyDescent="0.15">
      <c r="A81" s="799" t="s">
        <v>680</v>
      </c>
      <c r="B81" s="800" t="s">
        <v>391</v>
      </c>
      <c r="D81" s="795" t="s">
        <v>681</v>
      </c>
      <c r="E81" s="781"/>
      <c r="F81" s="797"/>
      <c r="G81" s="813"/>
      <c r="K81" s="782" t="str">
        <f>LEFT(A81,3)</f>
        <v>INF</v>
      </c>
      <c r="L81" s="782" t="str">
        <f>RIGHT(A81,3)</f>
        <v>209</v>
      </c>
      <c r="M81" s="782" t="str">
        <f>B81</f>
        <v>NOTE</v>
      </c>
      <c r="N81" s="781" t="str">
        <f>IF(ISBLANK(D82),"",LEFT(D82,1500))</f>
        <v/>
      </c>
    </row>
    <row r="82" spans="1:14" s="769" customFormat="1" ht="45" customHeight="1" x14ac:dyDescent="0.15">
      <c r="A82" s="1146"/>
      <c r="B82" s="1146"/>
      <c r="D82" s="1558"/>
      <c r="E82" s="1559"/>
      <c r="F82" s="1560"/>
      <c r="G82" s="788" t="str">
        <f>IF(LEN(D82)&gt;1500,"Attenzione, è stato superato il numero massimo di 1500 caratteri","")</f>
        <v/>
      </c>
      <c r="I82" s="1143"/>
      <c r="J82" s="786"/>
    </row>
    <row r="83" spans="1:14" s="769" customFormat="1" ht="15" customHeight="1" x14ac:dyDescent="0.15">
      <c r="A83" s="814"/>
      <c r="B83" s="814"/>
      <c r="D83" s="796"/>
      <c r="E83" s="796"/>
      <c r="F83" s="815"/>
      <c r="G83" s="812"/>
      <c r="I83" s="1143"/>
      <c r="J83" s="786"/>
      <c r="K83" s="782"/>
      <c r="L83" s="782"/>
      <c r="M83" s="782"/>
      <c r="N83" s="781"/>
    </row>
    <row r="84" spans="1:14" s="769" customFormat="1" ht="15" customHeight="1" x14ac:dyDescent="0.15">
      <c r="A84" s="799" t="s">
        <v>682</v>
      </c>
      <c r="B84" s="800" t="s">
        <v>391</v>
      </c>
      <c r="D84" s="795" t="s">
        <v>683</v>
      </c>
      <c r="E84" s="781"/>
      <c r="F84" s="797"/>
      <c r="G84" s="813"/>
      <c r="I84" s="1143"/>
      <c r="J84" s="786"/>
      <c r="K84" s="782" t="str">
        <f>LEFT(A84,3)</f>
        <v>INF</v>
      </c>
      <c r="L84" s="782" t="str">
        <f>RIGHT(A84,3)</f>
        <v>127</v>
      </c>
      <c r="M84" s="782" t="str">
        <f>B84</f>
        <v>NOTE</v>
      </c>
      <c r="N84" s="781" t="str">
        <f>IF(ISBLANK(D85),"",LEFT(D85,1500))</f>
        <v/>
      </c>
    </row>
    <row r="85" spans="1:14" s="769" customFormat="1" ht="45" customHeight="1" x14ac:dyDescent="0.15">
      <c r="A85" s="1146"/>
      <c r="B85" s="1146"/>
      <c r="D85" s="1558"/>
      <c r="E85" s="1559"/>
      <c r="F85" s="1560"/>
      <c r="G85" s="788" t="str">
        <f>IF(LEN(D85)&gt;1500,"Attenzione, è stato superato il numero massimo di 1500 caratteri","")</f>
        <v/>
      </c>
      <c r="K85" s="789" t="s">
        <v>531</v>
      </c>
      <c r="L85" s="781"/>
      <c r="M85" s="781"/>
      <c r="N85" s="781"/>
    </row>
    <row r="86" spans="1:14" s="854" customFormat="1" x14ac:dyDescent="0.2">
      <c r="A86" s="853"/>
      <c r="B86" s="853"/>
      <c r="F86" s="855"/>
      <c r="G86" s="856"/>
    </row>
  </sheetData>
  <sheetProtection algorithmName="SHA-512" hashValue="KBD00FY+8vfxlSnBBHRBXc3aM0ZLYy4IgVLEw8EtNYHHJt4Dyzauaq6xnWJGaP5ZhygDIsB45FwvyF917ZfZqA==" saltValue="9LWqfEfU58ZTjNHKOjL+vg==" spinCount="100000" sheet="1" formatColumns="0" selectLockedCells="1"/>
  <dataConsolidate/>
  <mergeCells count="4">
    <mergeCell ref="D85:F85"/>
    <mergeCell ref="G2:G3"/>
    <mergeCell ref="G5:G6"/>
    <mergeCell ref="D82:F82"/>
  </mergeCells>
  <dataValidations count="4">
    <dataValidation type="textLength" allowBlank="1" showInputMessage="1" showErrorMessage="1" error="Inserire massimo 1500 caratteri" sqref="D85:F85 D82:F82" xr:uid="{5E25B5A7-F569-44D3-8C7B-68E66384381C}">
      <formula1>0</formula1>
      <formula2>1500</formula2>
    </dataValidation>
    <dataValidation type="list" allowBlank="1" showDropDown="1" showInputMessage="1" showErrorMessage="1" errorTitle="Errore di digitazione" error="Digitare 'S' o 'N' o lasciare in bianco" sqref="F53 F61 F59" xr:uid="{E959627A-CD3F-4E6A-A7FD-1C18B05DEF9A}">
      <formula1>"s,n,S,N"</formula1>
    </dataValidation>
    <dataValidation type="whole" operator="lessThan" allowBlank="1" showInputMessage="1" showErrorMessage="1" errorTitle="Errore di digitazione" error="Inserire solo numeri interi o lasciare vuoto." sqref="F51 F25 F19 F49 F23 F29 F45 F31 F39 F33 F35 F37 F41 F43 F55 F57 F65 IS65 SO65 ACK65 AMG65 AWC65 BFY65 BPU65 BZQ65 CJM65 CTI65 DDE65 DNA65 DWW65 EGS65 EQO65 FAK65 FKG65 FUC65 GDY65 GNU65 GXQ65 HHM65 HRI65 IBE65 ILA65 IUW65 JES65 JOO65 JYK65 KIG65 KSC65 LBY65 LLU65 LVQ65 MFM65 MPI65 MZE65 NJA65 NSW65 OCS65 OMO65 OWK65 PGG65 PQC65 PZY65 QJU65 QTQ65 RDM65 RNI65 RXE65 SHA65 SQW65 TAS65 TKO65 TUK65 UEG65 UOC65 UXY65 VHU65 VRQ65 WBM65 WLI65 WVE65 F67 IS67 SO67 ACK67 AMG67 AWC67 BFY67 BPU67 BZQ67 CJM67 CTI67 DDE67 DNA67 DWW67 EGS67 EQO67 FAK67 FKG67 FUC67 GDY67 GNU67 GXQ67 HHM67 HRI67 IBE67 ILA67 IUW67 JES67 JOO67 JYK67 KIG67 KSC67 LBY67 LLU67 LVQ67 MFM67 MPI67 MZE67 NJA67 NSW67 OCS67 OMO67 OWK67 PGG67 PQC67 PZY67 QJU67 QTQ67 RDM67 RNI67 RXE67 SHA67 SQW67 TAS67 TKO67 TUK67 UEG67 UOC67 UXY67 VHU67 VRQ67 WBM67 WLI67 WVE67 F69 IS69 SO69 ACK69 AMG69 AWC69 BFY69 BPU69 BZQ69 CJM69 CTI69 DDE69 DNA69 DWW69 EGS69 EQO69 FAK69 FKG69 FUC69 GDY69 GNU69 GXQ69 HHM69 HRI69 IBE69 ILA69 IUW69 JES69 JOO69 JYK69 KIG69 KSC69 LBY69 LLU69 LVQ69 MFM69 MPI69 MZE69 NJA69 NSW69 OCS69 OMO69 OWK69 PGG69 PQC69 PZY69 QJU69 QTQ69 RDM69 RNI69 RXE69 SHA69 SQW69 TAS69 TKO69 TUK69 UEG69 UOC69 UXY69 VHU69 VRQ69 WBM69 WLI69 WVE69 F71 IS71 SO71 ACK71 AMG71 AWC71 BFY71 BPU71 BZQ71 CJM71 CTI71 DDE71 DNA71 DWW71 EGS71 EQO71 FAK71 FKG71 FUC71 GDY71 GNU71 GXQ71 HHM71 HRI71 IBE71 ILA71 IUW71 JES71 JOO71 JYK71 KIG71 KSC71 LBY71 LLU71 LVQ71 MFM71 MPI71 MZE71 NJA71 NSW71 OCS71 OMO71 OWK71 PGG71 PQC71 PZY71 QJU71 QTQ71 RDM71 RNI71 RXE71 SHA71 SQW71 TAS71 TKO71 TUK71 UEG71 UOC71 UXY71 VHU71 VRQ71 WBM71 WLI71 WVE71 F73 IS73 SO73 ACK73 AMG73 AWC73 BFY73 BPU73 BZQ73 CJM73 CTI73 DDE73 DNA73 DWW73 EGS73 EQO73 FAK73 FKG73 FUC73 GDY73 GNU73 GXQ73 HHM73 HRI73 IBE73 ILA73 IUW73 JES73 JOO73 JYK73 KIG73 KSC73 LBY73 LLU73 LVQ73 MFM73 MPI73 MZE73 NJA73 NSW73 OCS73 OMO73 OWK73 PGG73 PQC73 PZY73 QJU73 QTQ73 RDM73 RNI73 RXE73 SHA73 SQW73 TAS73 TKO73 TUK73 UEG73 UOC73 UXY73 VHU73 VRQ73 WBM73 WLI73 WVE73 F75 IS75 SO75 ACK75 AMG75 AWC75 BFY75 BPU75 BZQ75 CJM75 CTI75 DDE75 DNA75 DWW75 EGS75 EQO75 FAK75 FKG75 FUC75 GDY75 GNU75 GXQ75 HHM75 HRI75 IBE75 ILA75 IUW75 JES75 JOO75 JYK75 KIG75 KSC75 LBY75 LLU75 LVQ75 MFM75 MPI75 MZE75 NJA75 NSW75 OCS75 OMO75 OWK75 PGG75 PQC75 PZY75 QJU75 QTQ75 RDM75 RNI75 RXE75 SHA75 SQW75 TAS75 TKO75 TUK75 UEG75 UOC75 UXY75 VHU75 VRQ75 WBM75 WLI75 WVE75 F77" xr:uid="{6F0ED1AA-D264-4D66-B5BA-3142A76A271A}">
      <formula1>100000000000000</formula1>
    </dataValidation>
    <dataValidation type="date" allowBlank="1" showInputMessage="1" showErrorMessage="1" errorTitle="Errore di digitazione" error="Digitare una data non anteriore al 1 Gennaio dell'anno precedente alla di rilevazione (gg/mm/aaaa)" sqref="F15 F13 F17" xr:uid="{3677A1EF-6906-481D-8999-91BB9900F297}">
      <formula1>44562</formula1>
      <formula2>TODAY()</formula2>
    </dataValidation>
  </dataValidations>
  <printOptions horizontalCentered="1"/>
  <pageMargins left="0.39370078740157483" right="0.39370078740157483" top="0.78740157480314965" bottom="0.39370078740157483" header="0.31496062992125984" footer="0.31496062992125984"/>
  <pageSetup paperSize="9" scale="53"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N96"/>
  <sheetViews>
    <sheetView showGridLines="0" zoomScale="80" zoomScaleNormal="80" workbookViewId="0">
      <selection activeCell="F13" sqref="F13"/>
    </sheetView>
  </sheetViews>
  <sheetFormatPr defaultColWidth="12.6640625" defaultRowHeight="15" x14ac:dyDescent="0.2"/>
  <cols>
    <col min="1" max="1" width="10.6640625" style="817" customWidth="1"/>
    <col min="2" max="2" width="8.6640625" style="817" customWidth="1"/>
    <col min="3" max="3" width="2.6640625" style="794" customWidth="1"/>
    <col min="4" max="4" width="180.6640625" style="794" customWidth="1"/>
    <col min="5" max="5" width="2.6640625" style="794" customWidth="1"/>
    <col min="6" max="6" width="20.6640625" style="818" customWidth="1"/>
    <col min="7" max="7" width="50.6640625" style="793" customWidth="1"/>
    <col min="8" max="10" width="12.6640625" style="794" customWidth="1"/>
    <col min="11" max="13" width="12.6640625" style="794" hidden="1" customWidth="1"/>
    <col min="14" max="14" width="15.6640625" style="794" hidden="1" customWidth="1"/>
    <col min="15" max="16384" width="12.6640625" style="794"/>
  </cols>
  <sheetData>
    <row r="1" spans="1:14" s="1096" customFormat="1" ht="35.1" customHeight="1" thickBot="1" x14ac:dyDescent="0.2">
      <c r="A1" s="1092"/>
      <c r="B1" s="1092"/>
      <c r="C1" s="1093"/>
      <c r="D1" s="1093"/>
      <c r="E1" s="1094"/>
      <c r="F1" s="1094"/>
      <c r="G1" s="907" t="s">
        <v>852</v>
      </c>
      <c r="H1" s="1147" t="s">
        <v>457</v>
      </c>
    </row>
    <row r="2" spans="1:14" s="1096" customFormat="1" ht="35.1" customHeight="1" x14ac:dyDescent="0.35">
      <c r="A2" s="1097" t="s">
        <v>643</v>
      </c>
      <c r="B2" s="1097"/>
      <c r="C2" s="1098"/>
      <c r="D2" s="1098"/>
      <c r="E2" s="1098"/>
      <c r="F2" s="1099"/>
      <c r="G2" s="1549" t="str">
        <f>IF(AND(ISBLANK($F$23),SUM('t15(3)'!$W:$W)+SUM('t15(3)'!$R:$R)&gt;0),"Attenzione: è necessario compilare la domanda LEG428 !!!","OK")</f>
        <v>OK</v>
      </c>
    </row>
    <row r="3" spans="1:14" s="1103" customFormat="1" ht="35.1" customHeight="1" thickBot="1" x14ac:dyDescent="0.4">
      <c r="A3" s="1097" t="s">
        <v>644</v>
      </c>
      <c r="B3" s="1097"/>
      <c r="C3" s="1100"/>
      <c r="D3" s="1100"/>
      <c r="E3" s="1101"/>
      <c r="F3" s="1102"/>
      <c r="G3" s="1553"/>
      <c r="K3" s="1104"/>
    </row>
    <row r="4" spans="1:14" s="1111" customFormat="1" ht="35.1" customHeight="1" thickBot="1" x14ac:dyDescent="0.2">
      <c r="A4" s="1105"/>
      <c r="B4" s="1106"/>
      <c r="C4" s="1107"/>
      <c r="D4" s="1107"/>
      <c r="E4" s="1108"/>
      <c r="F4" s="1109"/>
      <c r="G4" s="1110" t="s">
        <v>645</v>
      </c>
    </row>
    <row r="5" spans="1:14" s="1111" customFormat="1" ht="35.1" customHeight="1" x14ac:dyDescent="0.15">
      <c r="A5" s="1149"/>
      <c r="B5" s="1149"/>
      <c r="D5" s="1150"/>
      <c r="E5" s="1150"/>
      <c r="F5" s="1151"/>
      <c r="G5" s="1561" t="str">
        <f>IF(AND(ISBLANK(F13),ISBLANK(F17)),"OK",IF(AND(OR(ISBLANK(F13),YEAR(F13)&gt;'t1'!L1-1),OR(ISBLANK(F17),YEAR(F17)&gt;'t1'!L1-1)),"OK","Attenzione: almeno una data di certificazione è antececedente l'anno "&amp;'t1'!L1&amp;", è necessario giustificare"))</f>
        <v>OK</v>
      </c>
    </row>
    <row r="6" spans="1:14" s="1111" customFormat="1" ht="35.1" customHeight="1" thickBot="1" x14ac:dyDescent="0.2">
      <c r="A6" s="1112" t="str">
        <f>'t1'!$A$1</f>
        <v>ENTI PUBBLICI NON ECONOMICI - anno 2024</v>
      </c>
      <c r="B6" s="1112"/>
      <c r="C6" s="1113"/>
      <c r="D6" s="1114"/>
      <c r="E6" s="1113"/>
      <c r="F6" s="1113"/>
      <c r="G6" s="1562"/>
    </row>
    <row r="7" spans="1:14" s="1111" customFormat="1" ht="35.1" customHeight="1" x14ac:dyDescent="0.15">
      <c r="A7" s="1115"/>
      <c r="B7" s="1115"/>
      <c r="D7" s="1116" t="s">
        <v>684</v>
      </c>
      <c r="N7" s="792" t="s">
        <v>647</v>
      </c>
    </row>
    <row r="8" spans="1:14" s="1111" customFormat="1" ht="15" customHeight="1" x14ac:dyDescent="0.15">
      <c r="A8" s="1115"/>
      <c r="B8" s="1115"/>
      <c r="D8" s="1117"/>
      <c r="N8" s="1118">
        <f>(COUNTIF(F:F,"&lt;&gt;"&amp;"")+COUNTIF(D92,"&lt;&gt;"&amp;"")+COUNTIF(D95,"&lt;&gt;"&amp;""))</f>
        <v>0</v>
      </c>
    </row>
    <row r="9" spans="1:14" s="1111" customFormat="1" ht="10.35" customHeight="1" x14ac:dyDescent="0.15">
      <c r="A9" s="1115"/>
      <c r="B9" s="1115"/>
      <c r="D9" s="1117"/>
      <c r="N9" s="792"/>
    </row>
    <row r="10" spans="1:14" ht="10.35" customHeight="1" x14ac:dyDescent="0.2">
      <c r="A10" s="1152"/>
      <c r="B10" s="1152"/>
      <c r="D10" s="1153"/>
      <c r="E10" s="1152"/>
      <c r="F10" s="802"/>
      <c r="G10" s="794"/>
    </row>
    <row r="11" spans="1:14" s="781" customFormat="1" ht="35.1" customHeight="1" x14ac:dyDescent="0.15">
      <c r="A11" s="1121" t="s">
        <v>648</v>
      </c>
      <c r="B11" s="1121"/>
      <c r="C11" s="1122"/>
      <c r="D11" s="1122" t="s">
        <v>649</v>
      </c>
      <c r="E11" s="1121"/>
      <c r="F11" s="1123"/>
      <c r="G11" s="795"/>
      <c r="K11" s="792" t="s">
        <v>650</v>
      </c>
      <c r="L11" s="792" t="s">
        <v>651</v>
      </c>
      <c r="M11" s="792" t="s">
        <v>652</v>
      </c>
      <c r="N11" s="792" t="s">
        <v>639</v>
      </c>
    </row>
    <row r="12" spans="1:14" s="781" customFormat="1" ht="4.3499999999999996" customHeight="1" x14ac:dyDescent="0.15">
      <c r="A12" s="796"/>
      <c r="B12" s="796"/>
      <c r="D12" s="796"/>
      <c r="E12" s="796"/>
      <c r="F12" s="797"/>
      <c r="G12" s="795"/>
      <c r="K12" s="798"/>
      <c r="L12" s="798"/>
      <c r="M12" s="798"/>
      <c r="N12" s="798"/>
    </row>
    <row r="13" spans="1:14" s="781" customFormat="1" ht="30" customHeight="1" x14ac:dyDescent="0.15">
      <c r="A13" s="828" t="s">
        <v>720</v>
      </c>
      <c r="B13" s="830" t="s">
        <v>654</v>
      </c>
      <c r="C13" s="877"/>
      <c r="D13" s="806" t="s">
        <v>883</v>
      </c>
      <c r="E13" s="831"/>
      <c r="F13" s="778"/>
      <c r="G13" s="1124" t="str">
        <f ca="1">IF(AND(ISBLANK(F13),C13="x",$N$8&gt;0),"Attenzione: domanda a risposta obbligatoria",IF(ISBLANK(F13),"",IF(AND(F13&gt;=DATE('t1'!$L$1-2,1,1),F13&lt;=TODAY()),"","Digitare una data non anteriore al 1 Gennaio "&amp;'t1'!$L$1-1&amp;" (gg/mm/aaaa)")))</f>
        <v/>
      </c>
      <c r="K13" s="782" t="str">
        <f>LEFT(A13,3)</f>
        <v>GEN</v>
      </c>
      <c r="L13" s="782" t="str">
        <f>RIGHT(A13,3)</f>
        <v>353</v>
      </c>
      <c r="M13" s="782" t="str">
        <f>B13</f>
        <v>DATE</v>
      </c>
      <c r="N13" s="1125" t="str">
        <f ca="1">IF(AND(F13&gt;=DATE('t1'!$L$1-1,1,1),F13&lt;=TODAY()),"'"&amp;DAY(F13)&amp;"/"&amp;MONTH(F13)&amp;"/"&amp;YEAR(F13),"")</f>
        <v/>
      </c>
    </row>
    <row r="14" spans="1:14" s="781" customFormat="1" ht="4.3499999999999996" customHeight="1" x14ac:dyDescent="0.15">
      <c r="A14" s="773"/>
      <c r="B14" s="773"/>
      <c r="C14" s="877"/>
      <c r="D14" s="852"/>
      <c r="E14" s="770"/>
      <c r="F14" s="776"/>
      <c r="G14" s="777"/>
    </row>
    <row r="15" spans="1:14" s="781" customFormat="1" ht="30" customHeight="1" x14ac:dyDescent="0.15">
      <c r="A15" s="828" t="s">
        <v>721</v>
      </c>
      <c r="B15" s="830" t="s">
        <v>654</v>
      </c>
      <c r="C15" s="877"/>
      <c r="D15" s="806" t="s">
        <v>884</v>
      </c>
      <c r="E15" s="831"/>
      <c r="F15" s="778"/>
      <c r="G15" s="1124" t="str">
        <f ca="1">IF(AND(ISBLANK(F15),C15="x",$N$8&gt;0),"Attenzione: domanda a risposta obbligatoria",IF(ISBLANK(F15),"",IF(AND(F15&gt;=DATE('t1'!$L$1-2,1,1),F15&lt;=TODAY()),"","Digitare una data non anteriore al 1 Gennaio "&amp;'t1'!$L$1-1&amp;" (gg/mm/aaaa)")))</f>
        <v/>
      </c>
      <c r="K15" s="782" t="str">
        <f>LEFT(A15,3)</f>
        <v>GEN</v>
      </c>
      <c r="L15" s="782" t="str">
        <f>RIGHT(A15,3)</f>
        <v>354</v>
      </c>
      <c r="M15" s="782" t="str">
        <f>B15</f>
        <v>DATE</v>
      </c>
      <c r="N15" s="1125" t="str">
        <f ca="1">IF(AND(F15&gt;=DATE('t1'!$L$1-1,1,1),F15&lt;=TODAY()),"'"&amp;DAY(F15)&amp;"/"&amp;MONTH(F15)&amp;"/"&amp;YEAR(F15),"")</f>
        <v/>
      </c>
    </row>
    <row r="16" spans="1:14" s="781" customFormat="1" ht="4.3499999999999996" customHeight="1" x14ac:dyDescent="0.15">
      <c r="A16" s="773"/>
      <c r="B16" s="773"/>
      <c r="C16" s="877"/>
      <c r="D16" s="806"/>
      <c r="E16" s="770"/>
      <c r="F16" s="776"/>
      <c r="G16" s="777"/>
    </row>
    <row r="17" spans="1:14" s="781" customFormat="1" ht="30" customHeight="1" x14ac:dyDescent="0.15">
      <c r="A17" s="828" t="s">
        <v>722</v>
      </c>
      <c r="B17" s="830" t="s">
        <v>654</v>
      </c>
      <c r="C17" s="877"/>
      <c r="D17" s="806" t="s">
        <v>885</v>
      </c>
      <c r="E17" s="832"/>
      <c r="F17" s="778"/>
      <c r="G17" s="1124" t="str">
        <f ca="1">IF(AND(ISBLANK(F17),C17="x",$N$8&gt;0),"Attenzione: domanda a risposta obbligatoria",IF(ISBLANK(F17),"",IF(AND(F17&gt;=DATE('t1'!$L$1-2,1,1),F17&lt;=TODAY()),"","Digitare una data non anteriore al 1 Gennaio "&amp;'t1'!$L$1-1&amp;" (gg/mm/aaaa)")))</f>
        <v/>
      </c>
      <c r="K17" s="782" t="str">
        <f>LEFT(A17,3)</f>
        <v>GEN</v>
      </c>
      <c r="L17" s="782" t="str">
        <f>RIGHT(A17,3)</f>
        <v>355</v>
      </c>
      <c r="M17" s="782" t="str">
        <f>B17</f>
        <v>DATE</v>
      </c>
      <c r="N17" s="1125" t="str">
        <f ca="1">IF(AND(F17&gt;=DATE('t1'!$L$1-1,1,1),F17&lt;=TODAY()),"'"&amp;DAY(F17)&amp;"/"&amp;MONTH(F17)&amp;"/"&amp;YEAR(F17),"")</f>
        <v/>
      </c>
    </row>
    <row r="18" spans="1:14" s="781" customFormat="1" ht="4.3499999999999996" customHeight="1" x14ac:dyDescent="0.15">
      <c r="A18" s="773"/>
      <c r="B18" s="773"/>
      <c r="C18" s="877"/>
      <c r="D18" s="770"/>
      <c r="E18" s="770"/>
      <c r="F18" s="776"/>
      <c r="G18" s="777"/>
    </row>
    <row r="19" spans="1:14" s="781" customFormat="1" ht="30" customHeight="1" x14ac:dyDescent="0.15">
      <c r="A19" s="833" t="s">
        <v>655</v>
      </c>
      <c r="B19" s="834" t="s">
        <v>656</v>
      </c>
      <c r="C19" s="877" t="s">
        <v>910</v>
      </c>
      <c r="D19" s="829" t="s">
        <v>657</v>
      </c>
      <c r="E19" s="831"/>
      <c r="F19" s="835"/>
      <c r="G19" s="1124" t="str">
        <f>IF(AND(ISBLANK(F19),C19="x",$N$8&gt;0),"Attenzione: domanda a risposta obbligatoria",IF(AND(SUM(F13:F17)&gt;0,G5="ok",F19&gt;0),"Attenzione, dato incoerente",IF(ISBLANK(F19),"",IF(ISNUMBER(F19),IF(F19-INT(F19)=0,"","  Errore ! Inserire un numero intero senza decimali"),"  Errore ! Inserire un numero intero senza decimali"))))</f>
        <v/>
      </c>
      <c r="K19" s="782" t="str">
        <f>LEFT(A19,3)</f>
        <v>GEN</v>
      </c>
      <c r="L19" s="782" t="str">
        <f>RIGHT(A19,3)</f>
        <v>195</v>
      </c>
      <c r="M19" s="782" t="str">
        <f>B19</f>
        <v>INT</v>
      </c>
      <c r="N19" s="782" t="str">
        <f>IF(ISNUMBER(F19),ROUND(F19,0),"")</f>
        <v/>
      </c>
    </row>
    <row r="20" spans="1:14" s="781" customFormat="1" ht="4.3499999999999996" customHeight="1" x14ac:dyDescent="0.15">
      <c r="A20" s="780"/>
      <c r="B20" s="780"/>
      <c r="C20" s="877"/>
      <c r="D20" s="770"/>
      <c r="E20" s="770"/>
      <c r="F20" s="771"/>
      <c r="G20" s="777"/>
    </row>
    <row r="21" spans="1:14" s="781" customFormat="1" ht="30" customHeight="1" x14ac:dyDescent="0.15">
      <c r="A21" s="1121" t="s">
        <v>658</v>
      </c>
      <c r="B21" s="1121"/>
      <c r="C21" s="1126"/>
      <c r="D21" s="1122" t="s">
        <v>753</v>
      </c>
      <c r="E21" s="1121"/>
      <c r="F21" s="1123"/>
      <c r="G21" s="777"/>
    </row>
    <row r="22" spans="1:14" s="831" customFormat="1" ht="4.3499999999999996" customHeight="1" x14ac:dyDescent="0.15">
      <c r="A22" s="842"/>
      <c r="B22" s="842"/>
      <c r="C22" s="876"/>
      <c r="D22" s="842"/>
      <c r="E22" s="842"/>
      <c r="F22" s="843"/>
      <c r="G22" s="844"/>
      <c r="I22" s="1127"/>
      <c r="J22" s="845"/>
    </row>
    <row r="23" spans="1:14" s="781" customFormat="1" ht="30" customHeight="1" x14ac:dyDescent="0.15">
      <c r="A23" s="828" t="s">
        <v>856</v>
      </c>
      <c r="B23" s="830" t="s">
        <v>656</v>
      </c>
      <c r="C23" s="877" t="s">
        <v>910</v>
      </c>
      <c r="D23" s="829" t="s">
        <v>857</v>
      </c>
      <c r="F23" s="1128"/>
      <c r="G23" s="788" t="str">
        <f>IF(AND(ISBLANK(F23),C23="x",$N$8&gt;0),"Attenzione: domanda a risposta obbligatoria",IF(ISBLANK(F23),"",IF(ISNUMBER(F23),IF(F23-INT(F23)=0,"","  Errore ! Inserire un numero intero senza decimali"),"  Errore ! Inserire un numero intero senza decimali")))</f>
        <v/>
      </c>
      <c r="K23" s="782" t="str">
        <f>LEFT(A23,3)</f>
        <v>LEG</v>
      </c>
      <c r="L23" s="782" t="str">
        <f>RIGHT(A23,3)</f>
        <v>428</v>
      </c>
      <c r="M23" s="782" t="str">
        <f>B23</f>
        <v>INT</v>
      </c>
      <c r="N23" s="782" t="str">
        <f>IF(ISNUMBER(F23),ROUND(F23,0),"")</f>
        <v/>
      </c>
    </row>
    <row r="24" spans="1:14" s="781" customFormat="1" ht="4.3499999999999996" customHeight="1" x14ac:dyDescent="0.15">
      <c r="A24" s="770"/>
      <c r="B24" s="846"/>
      <c r="C24" s="877"/>
      <c r="D24" s="846"/>
      <c r="E24" s="770"/>
      <c r="F24" s="771"/>
      <c r="G24" s="1148"/>
    </row>
    <row r="25" spans="1:14" s="781" customFormat="1" ht="30" customHeight="1" x14ac:dyDescent="0.15">
      <c r="A25" s="805" t="s">
        <v>825</v>
      </c>
      <c r="B25" s="841" t="s">
        <v>656</v>
      </c>
      <c r="C25" s="877"/>
      <c r="D25" s="863" t="s">
        <v>911</v>
      </c>
      <c r="E25" s="1136"/>
      <c r="F25" s="1137"/>
      <c r="G25" s="788" t="str">
        <f>IF(AND(ISBLANK(F25),C25="x",$N$8&gt;0),"Attenzione: domanda a risposta obbligatoria",IF(ISBLANK(F25),"",IF(ISNUMBER(F25),IF(F25-INT(F25)=0,"","  Errore ! Inserire un numero intero senza decimali"),"  Errore ! Inserire un numero intero senza decimali")))</f>
        <v/>
      </c>
      <c r="K25" s="782" t="str">
        <f>LEFT(A25,3)</f>
        <v>LEG</v>
      </c>
      <c r="L25" s="782" t="str">
        <f>RIGHT(A25,3)</f>
        <v>398</v>
      </c>
      <c r="M25" s="782" t="str">
        <f>B25</f>
        <v>INT</v>
      </c>
      <c r="N25" s="782" t="str">
        <f>IF(ISNUMBER(F25),ROUND(F25,0),"")</f>
        <v/>
      </c>
    </row>
    <row r="26" spans="1:14" s="781" customFormat="1" ht="4.3499999999999996" customHeight="1" x14ac:dyDescent="0.15">
      <c r="A26" s="773"/>
      <c r="B26" s="773"/>
      <c r="C26" s="877"/>
      <c r="D26" s="770"/>
      <c r="E26" s="770"/>
      <c r="F26" s="776"/>
      <c r="G26" s="777"/>
    </row>
    <row r="27" spans="1:14" s="781" customFormat="1" ht="30" customHeight="1" x14ac:dyDescent="0.15">
      <c r="A27" s="1121" t="s">
        <v>659</v>
      </c>
      <c r="B27" s="1121"/>
      <c r="C27" s="1126"/>
      <c r="D27" s="1122" t="s">
        <v>660</v>
      </c>
      <c r="E27" s="1121"/>
      <c r="F27" s="1123"/>
      <c r="G27" s="803"/>
    </row>
    <row r="28" spans="1:14" s="781" customFormat="1" ht="4.3499999999999996" customHeight="1" x14ac:dyDescent="0.15">
      <c r="A28" s="796"/>
      <c r="B28" s="796"/>
      <c r="C28" s="877"/>
      <c r="D28" s="796"/>
      <c r="E28" s="796"/>
      <c r="F28" s="797"/>
      <c r="G28" s="803"/>
    </row>
    <row r="29" spans="1:14" s="781" customFormat="1" ht="30" customHeight="1" x14ac:dyDescent="0.15">
      <c r="A29" s="805" t="s">
        <v>955</v>
      </c>
      <c r="B29" s="841" t="s">
        <v>656</v>
      </c>
      <c r="C29" s="885"/>
      <c r="D29" s="806" t="s">
        <v>946</v>
      </c>
      <c r="F29" s="1128"/>
      <c r="G29" s="788" t="str">
        <f>IF(AND(ISBLANK(F29),C29="x",$N$8&gt;0),"Attenzione: domanda a risposta obbligatoria",IF(ISBLANK(F29),"",IF(ISNUMBER(F29),IF(F29-INT(F29)=0,"","  Errore ! Inserire un numero intero senza decimali"),"  Errore ! Inserire un numero intero senza decimali")))</f>
        <v/>
      </c>
      <c r="K29" s="782" t="str">
        <f>LEFT(A29,3)</f>
        <v>ORG</v>
      </c>
      <c r="L29" s="782" t="str">
        <f>RIGHT(A29,3)</f>
        <v>443</v>
      </c>
      <c r="M29" s="782" t="str">
        <f>B29</f>
        <v>INT</v>
      </c>
      <c r="N29" s="782" t="str">
        <f>IF(ISNUMBER(F29),ROUND(F29,0),"")</f>
        <v/>
      </c>
    </row>
    <row r="30" spans="1:14" s="781" customFormat="1" ht="4.3499999999999996" customHeight="1" x14ac:dyDescent="0.15">
      <c r="A30" s="808"/>
      <c r="B30" s="808"/>
      <c r="C30" s="877"/>
      <c r="D30" s="852"/>
      <c r="E30" s="796"/>
      <c r="F30" s="797"/>
      <c r="G30" s="777"/>
      <c r="I30" s="1140"/>
      <c r="J30" s="810"/>
    </row>
    <row r="31" spans="1:14" s="781" customFormat="1" ht="30" customHeight="1" x14ac:dyDescent="0.15">
      <c r="A31" s="805" t="s">
        <v>685</v>
      </c>
      <c r="B31" s="841" t="s">
        <v>656</v>
      </c>
      <c r="C31" s="877"/>
      <c r="D31" s="806" t="s">
        <v>805</v>
      </c>
      <c r="F31" s="1128"/>
      <c r="G31" s="788" t="str">
        <f>IF(AND(ISBLANK(F31),C31="x",$N$8&gt;0),"Attenzione: domanda a risposta obbligatoria",IF(ISBLANK(F31),"",IF(ISNUMBER(F31),IF(F31-INT(F31)=0,"","  Errore ! Inserire un numero intero senza decimali"),"  Errore ! Inserire un numero intero senza decimali")))</f>
        <v/>
      </c>
      <c r="K31" s="782" t="str">
        <f>LEFT(A31,3)</f>
        <v>ORG</v>
      </c>
      <c r="L31" s="782" t="str">
        <f>RIGHT(A31,3)</f>
        <v>224</v>
      </c>
      <c r="M31" s="782" t="str">
        <f>B31</f>
        <v>INT</v>
      </c>
      <c r="N31" s="782" t="str">
        <f>IF(ISNUMBER(F31),ROUND(F31,0),"")</f>
        <v/>
      </c>
    </row>
    <row r="32" spans="1:14" s="781" customFormat="1" ht="4.3499999999999996" customHeight="1" x14ac:dyDescent="0.15">
      <c r="A32" s="808"/>
      <c r="B32" s="808"/>
      <c r="C32" s="877"/>
      <c r="D32" s="852"/>
      <c r="E32" s="796"/>
      <c r="F32" s="797"/>
      <c r="G32" s="777"/>
      <c r="I32" s="1140"/>
      <c r="J32" s="810"/>
    </row>
    <row r="33" spans="1:14" s="781" customFormat="1" ht="30" customHeight="1" x14ac:dyDescent="0.15">
      <c r="A33" s="805" t="s">
        <v>957</v>
      </c>
      <c r="B33" s="841" t="s">
        <v>656</v>
      </c>
      <c r="C33" s="885"/>
      <c r="D33" s="806" t="s">
        <v>948</v>
      </c>
      <c r="F33" s="1128"/>
      <c r="G33" s="788" t="str">
        <f>IF(AND(ISBLANK(F33),C33="x",$N$8&gt;0),"Attenzione: domanda a risposta obbligatoria",IF(ISBLANK(F33),"",IF(ISNUMBER(F33),IF(F33-INT(F33)=0,"","  Errore ! Inserire un numero intero senza decimali"),"  Errore ! Inserire un numero intero senza decimali")))</f>
        <v/>
      </c>
      <c r="K33" s="782" t="str">
        <f>LEFT(A33,3)</f>
        <v>ORG</v>
      </c>
      <c r="L33" s="782" t="str">
        <f>RIGHT(A33,3)</f>
        <v>445</v>
      </c>
      <c r="M33" s="782" t="str">
        <f>B33</f>
        <v>INT</v>
      </c>
      <c r="N33" s="782" t="str">
        <f>IF(ISNUMBER(F33),ROUND(F33,0),"")</f>
        <v/>
      </c>
    </row>
    <row r="34" spans="1:14" s="781" customFormat="1" ht="4.3499999999999996" customHeight="1" x14ac:dyDescent="0.15">
      <c r="A34" s="808"/>
      <c r="B34" s="808"/>
      <c r="C34" s="877"/>
      <c r="D34" s="852"/>
      <c r="E34" s="796"/>
      <c r="F34" s="797"/>
      <c r="G34" s="777"/>
      <c r="I34" s="1140"/>
      <c r="J34" s="810"/>
    </row>
    <row r="35" spans="1:14" s="781" customFormat="1" ht="30" customHeight="1" x14ac:dyDescent="0.15">
      <c r="A35" s="805" t="s">
        <v>958</v>
      </c>
      <c r="B35" s="841" t="s">
        <v>656</v>
      </c>
      <c r="C35" s="885"/>
      <c r="D35" s="806" t="s">
        <v>949</v>
      </c>
      <c r="F35" s="1128"/>
      <c r="G35" s="788" t="str">
        <f>IF(AND(ISBLANK(F35),C35="x",$N$8&gt;0),"Attenzione: domanda a risposta obbligatoria",IF(ISBLANK(F35),"",IF(ISNUMBER(F35),IF(F35-INT(F35)=0,"","  Errore ! Inserire un numero intero senza decimali"),"  Errore ! Inserire un numero intero senza decimali")))</f>
        <v/>
      </c>
      <c r="K35" s="782" t="str">
        <f>LEFT(A35,3)</f>
        <v>ORG</v>
      </c>
      <c r="L35" s="782" t="str">
        <f>RIGHT(A35,3)</f>
        <v>446</v>
      </c>
      <c r="M35" s="782" t="str">
        <f>B35</f>
        <v>INT</v>
      </c>
      <c r="N35" s="782" t="str">
        <f>IF(ISNUMBER(F35),ROUND(F35,0),"")</f>
        <v/>
      </c>
    </row>
    <row r="36" spans="1:14" s="781" customFormat="1" ht="4.3499999999999996" customHeight="1" x14ac:dyDescent="0.15">
      <c r="A36" s="808"/>
      <c r="B36" s="808"/>
      <c r="C36" s="877"/>
      <c r="D36" s="852"/>
      <c r="E36" s="796"/>
      <c r="F36" s="797"/>
      <c r="G36" s="777"/>
      <c r="I36" s="1140"/>
      <c r="J36" s="810"/>
    </row>
    <row r="37" spans="1:14" s="781" customFormat="1" ht="30" customHeight="1" x14ac:dyDescent="0.15">
      <c r="A37" s="805" t="s">
        <v>956</v>
      </c>
      <c r="B37" s="841" t="s">
        <v>656</v>
      </c>
      <c r="C37" s="885"/>
      <c r="D37" s="806" t="s">
        <v>947</v>
      </c>
      <c r="F37" s="1128"/>
      <c r="G37" s="788" t="str">
        <f>IF(AND(ISBLANK(F37),C37="x",$N$8&gt;0),"Attenzione: domanda a risposta obbligatoria",IF(ISBLANK(F37),"",IF(ISNUMBER(F37),IF(F37-INT(F37)=0,"","  Errore ! Inserire un numero intero senza decimali"),"  Errore ! Inserire un numero intero senza decimali")))</f>
        <v/>
      </c>
      <c r="K37" s="782" t="str">
        <f>LEFT(A37,3)</f>
        <v>ORG</v>
      </c>
      <c r="L37" s="782" t="str">
        <f>RIGHT(A37,3)</f>
        <v>444</v>
      </c>
      <c r="M37" s="782" t="str">
        <f>B37</f>
        <v>INT</v>
      </c>
      <c r="N37" s="782" t="str">
        <f>IF(ISNUMBER(F37),ROUND(F37,0),"")</f>
        <v/>
      </c>
    </row>
    <row r="38" spans="1:14" s="781" customFormat="1" ht="4.3499999999999996" customHeight="1" x14ac:dyDescent="0.15">
      <c r="A38" s="805"/>
      <c r="B38" s="805"/>
      <c r="C38" s="877"/>
      <c r="D38" s="852"/>
      <c r="E38" s="796"/>
      <c r="F38" s="797"/>
      <c r="G38" s="785"/>
      <c r="I38" s="1140"/>
      <c r="J38" s="810"/>
    </row>
    <row r="39" spans="1:14" s="781" customFormat="1" ht="30" customHeight="1" x14ac:dyDescent="0.15">
      <c r="A39" s="805" t="s">
        <v>686</v>
      </c>
      <c r="B39" s="841" t="s">
        <v>656</v>
      </c>
      <c r="C39" s="877"/>
      <c r="D39" s="806" t="s">
        <v>806</v>
      </c>
      <c r="F39" s="1128"/>
      <c r="G39" s="788" t="str">
        <f>IF(AND(ISBLANK(F39),C39="x",$N$8&gt;0),"Attenzione: domanda a risposta obbligatoria",IF(ISBLANK(F39),"",IF(ISNUMBER(F39),IF(F39-INT(F39)=0,"","  Errore ! Inserire un numero intero senza decimali"),"  Errore ! Inserire un numero intero senza decimali")))</f>
        <v/>
      </c>
      <c r="K39" s="782" t="str">
        <f>LEFT(A39,3)</f>
        <v>ORG</v>
      </c>
      <c r="L39" s="782" t="str">
        <f>RIGHT(A39,3)</f>
        <v>225</v>
      </c>
      <c r="M39" s="782" t="str">
        <f>B39</f>
        <v>INT</v>
      </c>
      <c r="N39" s="782" t="str">
        <f>IF(ISNUMBER(F39),ROUND(F39,0),"")</f>
        <v/>
      </c>
    </row>
    <row r="40" spans="1:14" s="781" customFormat="1" ht="4.3499999999999996" customHeight="1" x14ac:dyDescent="0.15">
      <c r="A40" s="805"/>
      <c r="B40" s="805"/>
      <c r="C40" s="877"/>
      <c r="D40" s="852"/>
      <c r="E40" s="796"/>
      <c r="F40" s="797"/>
      <c r="G40" s="785"/>
      <c r="I40" s="1140"/>
      <c r="J40" s="810"/>
    </row>
    <row r="41" spans="1:14" s="781" customFormat="1" ht="30" customHeight="1" x14ac:dyDescent="0.15">
      <c r="A41" s="805" t="s">
        <v>959</v>
      </c>
      <c r="B41" s="841" t="s">
        <v>656</v>
      </c>
      <c r="C41" s="885"/>
      <c r="D41" s="806" t="s">
        <v>950</v>
      </c>
      <c r="F41" s="1128"/>
      <c r="G41" s="788" t="str">
        <f>IF(AND(ISBLANK(F41),C41="x",$N$8&gt;0),"Attenzione: domanda a risposta obbligatoria",IF(ISBLANK(F41),"",IF(ISNUMBER(F41),IF(F41-INT(F41)=0,"","  Errore ! Inserire un numero intero senza decimali"),"  Errore ! Inserire un numero intero senza decimali")))</f>
        <v/>
      </c>
      <c r="K41" s="782" t="str">
        <f>LEFT(A41,3)</f>
        <v>ORG</v>
      </c>
      <c r="L41" s="782" t="str">
        <f>RIGHT(A41,3)</f>
        <v>447</v>
      </c>
      <c r="M41" s="782" t="str">
        <f>B41</f>
        <v>INT</v>
      </c>
      <c r="N41" s="782" t="str">
        <f>IF(ISNUMBER(F41),ROUND(F41,0),"")</f>
        <v/>
      </c>
    </row>
    <row r="42" spans="1:14" s="781" customFormat="1" ht="4.3499999999999996" customHeight="1" x14ac:dyDescent="0.15">
      <c r="A42" s="805"/>
      <c r="B42" s="805"/>
      <c r="C42" s="877"/>
      <c r="D42" s="852"/>
      <c r="E42" s="796"/>
      <c r="F42" s="797"/>
      <c r="G42" s="785"/>
      <c r="I42" s="1140"/>
      <c r="J42" s="810"/>
    </row>
    <row r="43" spans="1:14" s="781" customFormat="1" ht="30" customHeight="1" x14ac:dyDescent="0.15">
      <c r="A43" s="805" t="s">
        <v>687</v>
      </c>
      <c r="B43" s="841" t="s">
        <v>656</v>
      </c>
      <c r="C43" s="877"/>
      <c r="D43" s="806" t="s">
        <v>807</v>
      </c>
      <c r="F43" s="1128"/>
      <c r="G43" s="788" t="str">
        <f>IF(AND(ISBLANK(F43),C43="x",$N$8&gt;0),"Attenzione: domanda a risposta obbligatoria",IF(ISBLANK(F43),"",IF(ISNUMBER(F43),IF(F43-INT(F43)=0,"","  Errore ! Inserire un numero intero senza decimali"),"  Errore ! Inserire un numero intero senza decimali")))</f>
        <v/>
      </c>
      <c r="K43" s="782" t="str">
        <f>LEFT(A43,3)</f>
        <v>ORG</v>
      </c>
      <c r="L43" s="782" t="str">
        <f>RIGHT(A43,3)</f>
        <v>165</v>
      </c>
      <c r="M43" s="782" t="str">
        <f>B43</f>
        <v>INT</v>
      </c>
      <c r="N43" s="782" t="str">
        <f>IF(ISNUMBER(F43),ROUND(F43,0),"")</f>
        <v/>
      </c>
    </row>
    <row r="44" spans="1:14" s="781" customFormat="1" ht="4.3499999999999996" customHeight="1" x14ac:dyDescent="0.15">
      <c r="A44" s="805"/>
      <c r="B44" s="805"/>
      <c r="C44" s="877"/>
      <c r="D44" s="852"/>
      <c r="E44" s="796"/>
      <c r="F44" s="797"/>
      <c r="G44" s="785"/>
      <c r="I44" s="1140"/>
      <c r="J44" s="810"/>
    </row>
    <row r="45" spans="1:14" s="781" customFormat="1" ht="30" customHeight="1" x14ac:dyDescent="0.15">
      <c r="A45" s="805" t="s">
        <v>961</v>
      </c>
      <c r="B45" s="841" t="s">
        <v>656</v>
      </c>
      <c r="C45" s="885"/>
      <c r="D45" s="806" t="s">
        <v>952</v>
      </c>
      <c r="F45" s="1128"/>
      <c r="G45" s="788" t="str">
        <f>IF(AND(ISBLANK(F45),C45="x",$N$8&gt;0),"Attenzione: domanda a risposta obbligatoria",IF(ISBLANK(F45),"",IF(ISNUMBER(F45),IF(F45-INT(F45)=0,"","  Errore ! Inserire un numero intero senza decimali"),"  Errore ! Inserire un numero intero senza decimali")))</f>
        <v/>
      </c>
      <c r="K45" s="782" t="str">
        <f>LEFT(A45,3)</f>
        <v>ORG</v>
      </c>
      <c r="L45" s="782" t="str">
        <f>RIGHT(A45,3)</f>
        <v>449</v>
      </c>
      <c r="M45" s="782" t="str">
        <f>B45</f>
        <v>INT</v>
      </c>
      <c r="N45" s="782" t="str">
        <f>IF(ISNUMBER(F45),ROUND(F45,0),"")</f>
        <v/>
      </c>
    </row>
    <row r="46" spans="1:14" s="781" customFormat="1" ht="4.3499999999999996" customHeight="1" x14ac:dyDescent="0.15">
      <c r="A46" s="805"/>
      <c r="B46" s="805"/>
      <c r="C46" s="877"/>
      <c r="D46" s="852"/>
      <c r="E46" s="796"/>
      <c r="F46" s="797"/>
      <c r="G46" s="785"/>
      <c r="I46" s="1140"/>
      <c r="J46" s="810"/>
    </row>
    <row r="47" spans="1:14" s="781" customFormat="1" ht="30" customHeight="1" x14ac:dyDescent="0.15">
      <c r="A47" s="805" t="s">
        <v>962</v>
      </c>
      <c r="B47" s="841" t="s">
        <v>656</v>
      </c>
      <c r="C47" s="885"/>
      <c r="D47" s="806" t="s">
        <v>953</v>
      </c>
      <c r="F47" s="1128"/>
      <c r="G47" s="788" t="str">
        <f>IF(AND(ISBLANK(F47),C47="x",$N$8&gt;0),"Attenzione: domanda a risposta obbligatoria",IF(ISBLANK(F47),"",IF(ISNUMBER(F47),IF(F47-INT(F47)=0,"","  Errore ! Inserire un numero intero senza decimali"),"  Errore ! Inserire un numero intero senza decimali")))</f>
        <v/>
      </c>
      <c r="K47" s="782" t="str">
        <f>LEFT(A47,3)</f>
        <v>ORG</v>
      </c>
      <c r="L47" s="782" t="str">
        <f>RIGHT(A47,3)</f>
        <v>450</v>
      </c>
      <c r="M47" s="782" t="str">
        <f>B47</f>
        <v>INT</v>
      </c>
      <c r="N47" s="782" t="str">
        <f>IF(ISNUMBER(F47),ROUND(F47,0),"")</f>
        <v/>
      </c>
    </row>
    <row r="48" spans="1:14" s="781" customFormat="1" ht="4.3499999999999996" customHeight="1" x14ac:dyDescent="0.15">
      <c r="A48" s="805"/>
      <c r="B48" s="805"/>
      <c r="C48" s="877"/>
      <c r="D48" s="852"/>
      <c r="E48" s="796"/>
      <c r="F48" s="797"/>
      <c r="G48" s="785"/>
      <c r="I48" s="1140"/>
      <c r="J48" s="810"/>
    </row>
    <row r="49" spans="1:14" s="781" customFormat="1" ht="30" customHeight="1" x14ac:dyDescent="0.15">
      <c r="A49" s="805" t="s">
        <v>960</v>
      </c>
      <c r="B49" s="841" t="s">
        <v>656</v>
      </c>
      <c r="C49" s="885"/>
      <c r="D49" s="806" t="s">
        <v>951</v>
      </c>
      <c r="F49" s="1128"/>
      <c r="G49" s="788" t="str">
        <f>IF(AND(ISBLANK(F49),C49="x",$N$8&gt;0),"Attenzione: domanda a risposta obbligatoria",IF(ISBLANK(F49),"",IF(ISNUMBER(F49),IF(F49-INT(F49)=0,"","  Errore ! Inserire un numero intero senza decimali"),"  Errore ! Inserire un numero intero senza decimali")))</f>
        <v/>
      </c>
      <c r="K49" s="782" t="str">
        <f>LEFT(A49,3)</f>
        <v>ORG</v>
      </c>
      <c r="L49" s="782" t="str">
        <f>RIGHT(A49,3)</f>
        <v>448</v>
      </c>
      <c r="M49" s="782" t="str">
        <f>B49</f>
        <v>INT</v>
      </c>
      <c r="N49" s="782" t="str">
        <f>IF(ISNUMBER(F49),ROUND(F49,0),"")</f>
        <v/>
      </c>
    </row>
    <row r="50" spans="1:14" s="781" customFormat="1" ht="4.3499999999999996" customHeight="1" x14ac:dyDescent="0.15">
      <c r="A50" s="805"/>
      <c r="B50" s="805"/>
      <c r="C50" s="877"/>
      <c r="D50" s="852"/>
      <c r="E50" s="796"/>
      <c r="F50" s="797"/>
      <c r="G50" s="785"/>
      <c r="I50" s="1140"/>
      <c r="J50" s="810"/>
    </row>
    <row r="51" spans="1:14" s="781" customFormat="1" ht="30" customHeight="1" x14ac:dyDescent="0.15">
      <c r="A51" s="805" t="s">
        <v>688</v>
      </c>
      <c r="B51" s="841" t="s">
        <v>656</v>
      </c>
      <c r="C51" s="877"/>
      <c r="D51" s="806" t="s">
        <v>808</v>
      </c>
      <c r="F51" s="1128"/>
      <c r="G51" s="788" t="str">
        <f>IF(AND(ISBLANK(F51),C51="x",$N$8&gt;0),"Attenzione: domanda a risposta obbligatoria",IF(ISBLANK(F51),"",IF(ISNUMBER(F51),IF(F51-INT(F51)=0,"","  Errore ! Inserire un numero intero senza decimali"),"  Errore ! Inserire un numero intero senza decimali")))</f>
        <v/>
      </c>
      <c r="K51" s="782" t="str">
        <f>LEFT(A51,3)</f>
        <v>ORG</v>
      </c>
      <c r="L51" s="782" t="str">
        <f>RIGHT(A51,3)</f>
        <v>187</v>
      </c>
      <c r="M51" s="782" t="str">
        <f>B51</f>
        <v>INT</v>
      </c>
      <c r="N51" s="782" t="str">
        <f>IF(ISNUMBER(F51),ROUND(F51,0),"")</f>
        <v/>
      </c>
    </row>
    <row r="52" spans="1:14" s="781" customFormat="1" ht="4.3499999999999996" customHeight="1" x14ac:dyDescent="0.15">
      <c r="A52" s="805"/>
      <c r="B52" s="805"/>
      <c r="C52" s="877"/>
      <c r="D52" s="852"/>
      <c r="E52" s="796"/>
      <c r="F52" s="797"/>
      <c r="G52" s="785"/>
      <c r="I52" s="1140"/>
      <c r="J52" s="810"/>
    </row>
    <row r="53" spans="1:14" s="781" customFormat="1" ht="30" customHeight="1" x14ac:dyDescent="0.15">
      <c r="A53" s="805" t="s">
        <v>672</v>
      </c>
      <c r="B53" s="841" t="s">
        <v>656</v>
      </c>
      <c r="C53" s="877"/>
      <c r="D53" s="806" t="s">
        <v>673</v>
      </c>
      <c r="F53" s="1128"/>
      <c r="G53" s="788" t="str">
        <f>IF(AND(ISBLANK(F53),C53="x",$N$8&gt;0),"Attenzione: domanda a risposta obbligatoria",IF(ISBLANK(F53),"",IF(ISNUMBER(F53),IF(F53-INT(F53)=0,"","  Errore ! Inserire un numero intero senza decimali"),"  Errore ! Inserire un numero intero senza decimali")))</f>
        <v/>
      </c>
      <c r="K53" s="782" t="str">
        <f>LEFT(A53,3)</f>
        <v>ORG</v>
      </c>
      <c r="L53" s="782" t="str">
        <f>RIGHT(A53,3)</f>
        <v>271</v>
      </c>
      <c r="M53" s="782" t="str">
        <f>B53</f>
        <v>INT</v>
      </c>
      <c r="N53" s="782" t="str">
        <f>IF(ISNUMBER(F53),ROUND(F53,0),"")</f>
        <v/>
      </c>
    </row>
    <row r="54" spans="1:14" s="781" customFormat="1" ht="4.3499999999999996" customHeight="1" x14ac:dyDescent="0.15">
      <c r="A54" s="805"/>
      <c r="B54" s="805"/>
      <c r="C54" s="877"/>
      <c r="D54" s="852"/>
      <c r="E54" s="796"/>
      <c r="F54" s="797"/>
      <c r="G54" s="785"/>
      <c r="I54" s="1140"/>
      <c r="J54" s="810"/>
    </row>
    <row r="55" spans="1:14" s="781" customFormat="1" ht="30" customHeight="1" x14ac:dyDescent="0.15">
      <c r="A55" s="805" t="s">
        <v>674</v>
      </c>
      <c r="B55" s="841" t="s">
        <v>656</v>
      </c>
      <c r="C55" s="877"/>
      <c r="D55" s="806" t="s">
        <v>802</v>
      </c>
      <c r="F55" s="1128"/>
      <c r="G55" s="788" t="str">
        <f>IF(AND(ISBLANK(F55),C55="x",$N$8&gt;0),"Attenzione: domanda a risposta obbligatoria",IF(ISBLANK(F55),"",IF(ISNUMBER(F55),IF(F55-INT(F55)=0,"","  Errore ! Inserire un numero intero senza decimali"),"  Errore ! Inserire un numero intero senza decimali")))</f>
        <v/>
      </c>
      <c r="K55" s="782" t="str">
        <f>LEFT(A55,3)</f>
        <v>ORG</v>
      </c>
      <c r="L55" s="782" t="str">
        <f>RIGHT(A55,3)</f>
        <v>272</v>
      </c>
      <c r="M55" s="782" t="str">
        <f>B55</f>
        <v>INT</v>
      </c>
      <c r="N55" s="782" t="str">
        <f>IF(ISNUMBER(F55),ROUND(F55,0),"")</f>
        <v/>
      </c>
    </row>
    <row r="56" spans="1:14" s="781" customFormat="1" ht="4.3499999999999996" customHeight="1" x14ac:dyDescent="0.15">
      <c r="A56" s="804"/>
      <c r="B56" s="804"/>
      <c r="C56" s="877"/>
      <c r="D56" s="796"/>
      <c r="E56" s="796"/>
      <c r="F56" s="797"/>
      <c r="G56" s="803"/>
    </row>
    <row r="57" spans="1:14" s="781" customFormat="1" ht="30" customHeight="1" x14ac:dyDescent="0.15">
      <c r="A57" s="1121" t="s">
        <v>675</v>
      </c>
      <c r="B57" s="1121"/>
      <c r="C57" s="1126"/>
      <c r="D57" s="1122" t="s">
        <v>799</v>
      </c>
      <c r="E57" s="1121"/>
      <c r="F57" s="1123"/>
    </row>
    <row r="58" spans="1:14" s="781" customFormat="1" ht="4.3499999999999996" customHeight="1" x14ac:dyDescent="0.15">
      <c r="A58" s="796"/>
      <c r="B58" s="796"/>
      <c r="C58" s="877"/>
      <c r="D58" s="796"/>
      <c r="E58" s="796"/>
      <c r="F58" s="797"/>
      <c r="G58" s="803"/>
    </row>
    <row r="59" spans="1:14" s="781" customFormat="1" ht="30" customHeight="1" x14ac:dyDescent="0.15">
      <c r="A59" s="805" t="s">
        <v>676</v>
      </c>
      <c r="B59" s="800" t="s">
        <v>656</v>
      </c>
      <c r="C59" s="877"/>
      <c r="D59" s="795" t="s">
        <v>803</v>
      </c>
      <c r="F59" s="1128"/>
      <c r="G59" s="788" t="str">
        <f>IF(AND(ISBLANK(F59),C59="x",$N$8&gt;0),"Attenzione: domanda a risposta obbligatoria",IF(ISBLANK(F59),"",IF(ISNUMBER(F59),IF(F59-INT(F59)=0,"","  Errore ! Inserire un numero intero senza decimali"),"  Errore ! Inserire un numero intero senza decimali")))</f>
        <v/>
      </c>
      <c r="K59" s="782" t="str">
        <f>LEFT(A59,3)</f>
        <v>PRD</v>
      </c>
      <c r="L59" s="782" t="str">
        <f>RIGHT(A59,3)</f>
        <v>137</v>
      </c>
      <c r="M59" s="782" t="str">
        <f>B59</f>
        <v>INT</v>
      </c>
      <c r="N59" s="782" t="str">
        <f>IF(ISNUMBER(F59),ROUND(F59,0),"")</f>
        <v/>
      </c>
    </row>
    <row r="60" spans="1:14" s="781" customFormat="1" ht="4.3499999999999996" customHeight="1" x14ac:dyDescent="0.15">
      <c r="A60" s="805"/>
      <c r="B60" s="805"/>
      <c r="C60" s="877"/>
      <c r="D60" s="796"/>
      <c r="E60" s="796"/>
      <c r="F60" s="797"/>
      <c r="G60" s="785"/>
      <c r="I60" s="1140"/>
      <c r="J60" s="810"/>
    </row>
    <row r="61" spans="1:14" s="781" customFormat="1" ht="30" customHeight="1" x14ac:dyDescent="0.15">
      <c r="A61" s="805" t="s">
        <v>677</v>
      </c>
      <c r="B61" s="800" t="s">
        <v>656</v>
      </c>
      <c r="C61" s="877"/>
      <c r="D61" s="795" t="s">
        <v>804</v>
      </c>
      <c r="F61" s="1128"/>
      <c r="G61" s="788" t="str">
        <f>IF(AND(ISBLANK(F61),C61="x",$N$8&gt;0),"Attenzione: domanda a risposta obbligatoria",IF(ISBLANK(F61),"",IF(ISNUMBER(F61),IF(F61-INT(F61)=0,"","  Errore ! Inserire un numero intero senza decimali"),"  Errore ! Inserire un numero intero senza decimali")))</f>
        <v/>
      </c>
      <c r="K61" s="782" t="str">
        <f>LEFT(A61,3)</f>
        <v>PRD</v>
      </c>
      <c r="L61" s="782" t="str">
        <f>RIGHT(A61,3)</f>
        <v>115</v>
      </c>
      <c r="M61" s="782" t="str">
        <f>B61</f>
        <v>INT</v>
      </c>
      <c r="N61" s="782" t="str">
        <f>IF(ISNUMBER(F61),ROUND(F61,0),"")</f>
        <v/>
      </c>
    </row>
    <row r="62" spans="1:14" s="781" customFormat="1" ht="4.3499999999999996" customHeight="1" x14ac:dyDescent="0.15">
      <c r="A62" s="805"/>
      <c r="B62" s="805"/>
      <c r="C62" s="877"/>
      <c r="D62" s="796"/>
      <c r="E62" s="796"/>
      <c r="F62" s="797"/>
      <c r="G62" s="809"/>
      <c r="I62" s="1140"/>
      <c r="J62" s="810"/>
    </row>
    <row r="63" spans="1:14" s="832" customFormat="1" ht="30" customHeight="1" x14ac:dyDescent="0.15">
      <c r="A63" s="828" t="s">
        <v>1124</v>
      </c>
      <c r="B63" s="830" t="s">
        <v>653</v>
      </c>
      <c r="C63" s="1159"/>
      <c r="D63" s="829" t="s">
        <v>1125</v>
      </c>
      <c r="F63" s="1362"/>
      <c r="G63" s="1363" t="str">
        <f>IF(AND(ISBLANK(F63),C63="x",$N$8&gt;0),"Attenzione: domanda a risposta obbligatoria",IF(ISBLANK(F63),"",IF(AND(LEN(F63)=1,OR(UPPER(F63)="N",UPPER(F63)="S")),"",IF(ISBLANK(F63),"","  Errore ! Inserire S o N"))))</f>
        <v/>
      </c>
      <c r="K63" s="1364" t="str">
        <f>LEFT(A63,3)</f>
        <v>PRD</v>
      </c>
      <c r="L63" s="1364" t="str">
        <f>RIGHT(A63,3)</f>
        <v>480</v>
      </c>
      <c r="M63" s="1364" t="str">
        <f>B63</f>
        <v>FLAG</v>
      </c>
      <c r="N63" s="1365" t="str">
        <f>IF(AND(LEN(F63)=1,OR(UPPER(F63)="N",UPPER(F63)="S")),UPPER(F63),"")</f>
        <v/>
      </c>
    </row>
    <row r="64" spans="1:14" s="832" customFormat="1" ht="4.3499999999999996" customHeight="1" x14ac:dyDescent="0.15">
      <c r="A64" s="828"/>
      <c r="B64" s="828"/>
      <c r="C64" s="1159"/>
      <c r="D64" s="1374"/>
      <c r="E64" s="1132"/>
      <c r="F64" s="1133"/>
      <c r="G64" s="1366"/>
    </row>
    <row r="65" spans="1:14" s="832" customFormat="1" ht="30" customHeight="1" x14ac:dyDescent="0.15">
      <c r="A65" s="828" t="s">
        <v>1126</v>
      </c>
      <c r="B65" s="830" t="s">
        <v>656</v>
      </c>
      <c r="C65" s="1159"/>
      <c r="D65" s="829" t="s">
        <v>1127</v>
      </c>
      <c r="F65" s="1157"/>
      <c r="G65" s="1363" t="str">
        <f>IF(AND(ISBLANK(F65),C65="x",$N$8&gt;0),"Attenzione: domanda a risposta obbligatoria",IF(ISBLANK(F65),"",IF(ISNUMBER(F65),IF(F65-INT(F65)=0,"","  Errore ! Inserire un numero intero senza decimali"),"  Errore ! Inserire un numero intero senza decimali")))</f>
        <v/>
      </c>
      <c r="K65" s="1364" t="str">
        <f>LEFT(A65,3)</f>
        <v>PRD</v>
      </c>
      <c r="L65" s="1364" t="str">
        <f>RIGHT(A65,3)</f>
        <v>481</v>
      </c>
      <c r="M65" s="1364" t="str">
        <f>B65</f>
        <v>INT</v>
      </c>
      <c r="N65" s="1364" t="str">
        <f>IF(ISNUMBER(F65),ROUND(F65,0),"")</f>
        <v/>
      </c>
    </row>
    <row r="66" spans="1:14" s="832" customFormat="1" ht="4.3499999999999996" customHeight="1" x14ac:dyDescent="0.15">
      <c r="A66" s="828"/>
      <c r="B66" s="828"/>
      <c r="C66" s="1159"/>
      <c r="D66" s="1374"/>
      <c r="E66" s="1132"/>
      <c r="F66" s="1133"/>
      <c r="G66" s="1366"/>
    </row>
    <row r="67" spans="1:14" s="832" customFormat="1" ht="30" customHeight="1" x14ac:dyDescent="0.15">
      <c r="A67" s="828" t="s">
        <v>1128</v>
      </c>
      <c r="B67" s="830" t="s">
        <v>656</v>
      </c>
      <c r="C67" s="1159"/>
      <c r="D67" s="829" t="s">
        <v>1129</v>
      </c>
      <c r="F67" s="1157"/>
      <c r="G67" s="1363" t="str">
        <f>IF(AND(ISBLANK(F67),C67="x",$N$8&gt;0),"Attenzione: domanda a risposta obbligatoria",IF(ISBLANK(F67),"",IF(ISNUMBER(F67),IF(F67-INT(F67)=0,"","  Errore ! Inserire un numero intero senza decimali"),"  Errore ! Inserire un numero intero senza decimali")))</f>
        <v/>
      </c>
      <c r="K67" s="1364" t="str">
        <f>LEFT(A67,3)</f>
        <v>PRD</v>
      </c>
      <c r="L67" s="1364" t="str">
        <f>RIGHT(A67,3)</f>
        <v>482</v>
      </c>
      <c r="M67" s="1364" t="str">
        <f>B67</f>
        <v>INT</v>
      </c>
      <c r="N67" s="1364" t="str">
        <f>IF(ISNUMBER(F67),ROUND(F67,0),"")</f>
        <v/>
      </c>
    </row>
    <row r="68" spans="1:14" s="832" customFormat="1" ht="4.3499999999999996" customHeight="1" x14ac:dyDescent="0.15">
      <c r="A68" s="828"/>
      <c r="B68" s="828"/>
      <c r="D68" s="1367"/>
      <c r="E68" s="1132"/>
      <c r="F68" s="1133"/>
      <c r="G68" s="1366"/>
    </row>
    <row r="69" spans="1:14" s="781" customFormat="1" ht="30" customHeight="1" x14ac:dyDescent="0.15">
      <c r="A69" s="805" t="s">
        <v>1196</v>
      </c>
      <c r="B69" s="841" t="s">
        <v>653</v>
      </c>
      <c r="C69" s="1136"/>
      <c r="D69" s="806" t="s">
        <v>1197</v>
      </c>
      <c r="F69" s="1128"/>
      <c r="G69" s="1385" t="str">
        <f>IF(AND(ISBLANK(F69),C69="x",$N$8&gt;0),"Attenzione: domanda a risposta obbligatoria",IF(ISBLANK(F69),"",IF(AND(LEN(F69)=1,OR(UPPER(F69)="N",UPPER(F69)="S")),"",IF(ISBLANK(F69),"","  Errore ! Inserire S o N"))))</f>
        <v/>
      </c>
      <c r="K69" s="782" t="str">
        <f>LEFT(A69,3)</f>
        <v>PRD</v>
      </c>
      <c r="L69" s="782" t="str">
        <f>RIGHT(A69,3)</f>
        <v>541</v>
      </c>
      <c r="M69" s="782" t="str">
        <f>B69</f>
        <v>FLAG</v>
      </c>
      <c r="N69" s="1365" t="str">
        <f>IF(AND(LEN(F69)=1,OR(UPPER(F69)="N",UPPER(F69)="S")),UPPER(F69),"")</f>
        <v/>
      </c>
    </row>
    <row r="70" spans="1:14" s="781" customFormat="1" ht="4.3499999999999996" customHeight="1" x14ac:dyDescent="0.15">
      <c r="A70" s="805"/>
      <c r="B70" s="805"/>
      <c r="C70" s="1136"/>
      <c r="D70" s="1386"/>
      <c r="E70" s="796"/>
      <c r="F70" s="802"/>
      <c r="G70" s="803"/>
    </row>
    <row r="71" spans="1:14" s="781" customFormat="1" ht="30" customHeight="1" x14ac:dyDescent="0.15">
      <c r="A71" s="805" t="s">
        <v>1198</v>
      </c>
      <c r="B71" s="841" t="s">
        <v>653</v>
      </c>
      <c r="C71" s="1136"/>
      <c r="D71" s="806" t="s">
        <v>1199</v>
      </c>
      <c r="F71" s="1128"/>
      <c r="G71" s="1385" t="str">
        <f>IF(AND(ISBLANK(F71),C71="x",$N$8&gt;0),"Attenzione: domanda a risposta obbligatoria",IF(ISBLANK(F71),"",IF(AND(LEN(F71)=1,OR(UPPER(F71)="N",UPPER(F71)="S")),"",IF(ISBLANK(F71),"","  Errore ! Inserire S o N"))))</f>
        <v/>
      </c>
      <c r="K71" s="782" t="str">
        <f>LEFT(A71,3)</f>
        <v>PRD</v>
      </c>
      <c r="L71" s="782" t="str">
        <f>RIGHT(A71,3)</f>
        <v>542</v>
      </c>
      <c r="M71" s="782" t="str">
        <f>B71</f>
        <v>FLAG</v>
      </c>
      <c r="N71" s="1365" t="str">
        <f>IF(AND(LEN(F71)=1,OR(UPPER(F71)="N",UPPER(F71)="S")),UPPER(F71),"")</f>
        <v/>
      </c>
    </row>
    <row r="72" spans="1:14" s="781" customFormat="1" ht="4.3499999999999996" customHeight="1" x14ac:dyDescent="0.15">
      <c r="A72" s="805"/>
      <c r="B72" s="805"/>
      <c r="C72" s="1136"/>
      <c r="D72" s="1387"/>
      <c r="E72" s="796"/>
      <c r="F72" s="802"/>
      <c r="G72" s="803"/>
    </row>
    <row r="73" spans="1:14" s="781" customFormat="1" ht="35.1" customHeight="1" x14ac:dyDescent="0.15">
      <c r="A73" s="1121" t="s">
        <v>1028</v>
      </c>
      <c r="B73" s="1121"/>
      <c r="C73" s="1126"/>
      <c r="D73" s="1122" t="s">
        <v>1029</v>
      </c>
      <c r="E73" s="1121"/>
      <c r="F73" s="1123"/>
      <c r="G73" s="788" t="str">
        <f>IF(AND(LEN(F73)=1,OR(UPPER(F73)="N",UPPER(F73)="S")),"",IF(ISBLANK(F73),"","  Errore ! Inserire S o N"))</f>
        <v/>
      </c>
    </row>
    <row r="74" spans="1:14" s="781" customFormat="1" ht="4.3499999999999996" customHeight="1" x14ac:dyDescent="0.15">
      <c r="A74" s="1155"/>
      <c r="B74" s="1155"/>
      <c r="C74" s="1161"/>
      <c r="D74" s="1162"/>
      <c r="E74" s="796"/>
      <c r="F74" s="802"/>
      <c r="G74" s="803"/>
    </row>
    <row r="75" spans="1:14" s="781" customFormat="1" ht="30" customHeight="1" x14ac:dyDescent="0.15">
      <c r="A75" s="805" t="s">
        <v>1200</v>
      </c>
      <c r="B75" s="841" t="s">
        <v>656</v>
      </c>
      <c r="C75" s="1136"/>
      <c r="D75" s="806" t="s">
        <v>1201</v>
      </c>
      <c r="F75" s="1128"/>
      <c r="G75" s="788" t="str">
        <f>IF(AND(ISBLANK(F75),C75="x",$N$8&gt;0),"Attenzione: domanda a risposta obbligatoria",IF(ISBLANK(F75),"",IF(ISNUMBER(F75),IF(F75-INT(F75)=0,"","  Errore ! Inserire un numero intero senza decimali"),"  Errore ! Inserire un numero intero senza decimali")))</f>
        <v/>
      </c>
      <c r="K75" s="782" t="str">
        <f>LEFT(A75,3)</f>
        <v>WLF</v>
      </c>
      <c r="L75" s="782" t="str">
        <f>RIGHT(A75,3)</f>
        <v>539</v>
      </c>
      <c r="M75" s="782" t="str">
        <f>B75</f>
        <v>INT</v>
      </c>
      <c r="N75" s="782" t="str">
        <f>IF(ISNUMBER(F75),ROUND(F75,0),"")</f>
        <v/>
      </c>
    </row>
    <row r="76" spans="1:14" s="781" customFormat="1" ht="4.3499999999999996" customHeight="1" x14ac:dyDescent="0.15">
      <c r="A76" s="805"/>
      <c r="B76" s="805"/>
      <c r="C76" s="1136"/>
      <c r="D76" s="852"/>
      <c r="E76" s="796"/>
      <c r="F76" s="802"/>
      <c r="G76" s="803"/>
    </row>
    <row r="77" spans="1:14" s="781" customFormat="1" ht="30" customHeight="1" x14ac:dyDescent="0.15">
      <c r="A77" s="805" t="s">
        <v>1032</v>
      </c>
      <c r="B77" s="841" t="s">
        <v>656</v>
      </c>
      <c r="C77" s="1136"/>
      <c r="D77" s="806" t="s">
        <v>1037</v>
      </c>
      <c r="F77" s="1128"/>
      <c r="G77" s="788" t="str">
        <f>IF(AND(ISBLANK(F77),C77="x",$N$8&gt;0),"Attenzione: domanda a risposta obbligatoria",IF(ISBLANK(F77),"",IF(ISNUMBER(F77),IF(F77-INT(F77)=0,"","  Errore ! Inserire un numero intero senza decimali"),"  Errore ! Inserire un numero intero senza decimali")))</f>
        <v/>
      </c>
      <c r="K77" s="782" t="str">
        <f>LEFT(A77,3)</f>
        <v>WLF</v>
      </c>
      <c r="L77" s="782" t="str">
        <f>RIGHT(A77,3)</f>
        <v>467</v>
      </c>
      <c r="M77" s="782" t="str">
        <f>B77</f>
        <v>INT</v>
      </c>
      <c r="N77" s="782" t="str">
        <f>IF(ISNUMBER(F77),ROUND(F77,0),"")</f>
        <v/>
      </c>
    </row>
    <row r="78" spans="1:14" s="781" customFormat="1" ht="4.3499999999999996" customHeight="1" x14ac:dyDescent="0.15">
      <c r="A78" s="805"/>
      <c r="B78" s="805"/>
      <c r="C78" s="1136"/>
      <c r="D78" s="852"/>
      <c r="E78" s="796"/>
      <c r="F78" s="802"/>
      <c r="G78" s="803"/>
    </row>
    <row r="79" spans="1:14" s="781" customFormat="1" ht="30" customHeight="1" x14ac:dyDescent="0.15">
      <c r="A79" s="805" t="s">
        <v>1033</v>
      </c>
      <c r="B79" s="841" t="s">
        <v>656</v>
      </c>
      <c r="C79" s="1136"/>
      <c r="D79" s="806" t="s">
        <v>1038</v>
      </c>
      <c r="F79" s="1128"/>
      <c r="G79" s="788" t="str">
        <f>IF(AND(ISBLANK(F79),C79="x",$N$8&gt;0),"Attenzione: domanda a risposta obbligatoria",IF(ISBLANK(F79),"",IF(ISNUMBER(F79),IF(F79-INT(F79)=0,"","  Errore ! Inserire un numero intero senza decimali"),"  Errore ! Inserire un numero intero senza decimali")))</f>
        <v/>
      </c>
      <c r="K79" s="782" t="str">
        <f>LEFT(A79,3)</f>
        <v>WLF</v>
      </c>
      <c r="L79" s="782" t="str">
        <f>RIGHT(A79,3)</f>
        <v>468</v>
      </c>
      <c r="M79" s="782" t="str">
        <f>B79</f>
        <v>INT</v>
      </c>
      <c r="N79" s="782" t="str">
        <f>IF(ISNUMBER(F79),ROUND(F79,0),"")</f>
        <v/>
      </c>
    </row>
    <row r="80" spans="1:14" s="781" customFormat="1" ht="4.3499999999999996" customHeight="1" x14ac:dyDescent="0.15">
      <c r="A80" s="805"/>
      <c r="B80" s="805"/>
      <c r="C80" s="1136"/>
      <c r="D80" s="852"/>
      <c r="E80" s="796"/>
      <c r="F80" s="802"/>
      <c r="G80" s="803"/>
    </row>
    <row r="81" spans="1:14" s="781" customFormat="1" ht="30" customHeight="1" x14ac:dyDescent="0.15">
      <c r="A81" s="805" t="s">
        <v>1034</v>
      </c>
      <c r="B81" s="841" t="s">
        <v>656</v>
      </c>
      <c r="C81" s="1136"/>
      <c r="D81" s="806" t="s">
        <v>1039</v>
      </c>
      <c r="F81" s="1128"/>
      <c r="G81" s="788" t="str">
        <f>IF(AND(ISBLANK(F81),C81="x",$N$8&gt;0),"Attenzione: domanda a risposta obbligatoria",IF(ISBLANK(F81),"",IF(ISNUMBER(F81),IF(F81-INT(F81)=0,"","  Errore ! Inserire un numero intero senza decimali"),"  Errore ! Inserire un numero intero senza decimali")))</f>
        <v/>
      </c>
      <c r="K81" s="782" t="str">
        <f>LEFT(A81,3)</f>
        <v>WLF</v>
      </c>
      <c r="L81" s="782" t="str">
        <f>RIGHT(A81,3)</f>
        <v>469</v>
      </c>
      <c r="M81" s="782" t="str">
        <f>B81</f>
        <v>INT</v>
      </c>
      <c r="N81" s="782" t="str">
        <f>IF(ISNUMBER(F81),ROUND(F81,0),"")</f>
        <v/>
      </c>
    </row>
    <row r="82" spans="1:14" s="781" customFormat="1" ht="4.3499999999999996" customHeight="1" x14ac:dyDescent="0.15">
      <c r="A82" s="805"/>
      <c r="B82" s="805"/>
      <c r="C82" s="1136"/>
      <c r="D82" s="852"/>
      <c r="E82" s="796"/>
      <c r="F82" s="802"/>
      <c r="G82" s="803"/>
    </row>
    <row r="83" spans="1:14" s="781" customFormat="1" ht="30" customHeight="1" x14ac:dyDescent="0.15">
      <c r="A83" s="805" t="s">
        <v>1192</v>
      </c>
      <c r="B83" s="841" t="s">
        <v>656</v>
      </c>
      <c r="C83" s="1136"/>
      <c r="D83" s="806" t="s">
        <v>1193</v>
      </c>
      <c r="F83" s="1128"/>
      <c r="G83" s="788" t="str">
        <f>IF(AND(ISBLANK(F83),C83="x",$N$8&gt;0),"Attenzione: domanda a risposta obbligatoria",IF(ISBLANK(F83),"",IF(ISNUMBER(F83),IF(F83-INT(F83)=0,"","  Errore ! Inserire un numero intero senza decimali"),"  Errore ! Inserire un numero intero senza decimali")))</f>
        <v/>
      </c>
      <c r="K83" s="782" t="str">
        <f>LEFT(A83,3)</f>
        <v>WLF</v>
      </c>
      <c r="L83" s="782" t="str">
        <f>RIGHT(A83,3)</f>
        <v>520</v>
      </c>
      <c r="M83" s="782" t="str">
        <f>B83</f>
        <v>INT</v>
      </c>
      <c r="N83" s="782" t="str">
        <f>IF(ISNUMBER(F83),ROUND(F83,0),"")</f>
        <v/>
      </c>
    </row>
    <row r="84" spans="1:14" s="781" customFormat="1" ht="4.3499999999999996" customHeight="1" x14ac:dyDescent="0.15">
      <c r="A84" s="805"/>
      <c r="B84" s="805"/>
      <c r="C84" s="1136"/>
      <c r="D84" s="852"/>
      <c r="E84" s="796"/>
      <c r="F84" s="802"/>
      <c r="G84" s="803"/>
    </row>
    <row r="85" spans="1:14" s="781" customFormat="1" ht="30" customHeight="1" x14ac:dyDescent="0.15">
      <c r="A85" s="805" t="s">
        <v>1036</v>
      </c>
      <c r="B85" s="841" t="s">
        <v>656</v>
      </c>
      <c r="C85" s="1136"/>
      <c r="D85" s="806" t="s">
        <v>1041</v>
      </c>
      <c r="F85" s="1128"/>
      <c r="G85" s="788" t="str">
        <f>IF(AND(ISBLANK(F85),C85="x",$N$8&gt;0),"Attenzione: domanda a risposta obbligatoria",IF(ISBLANK(F85),"",IF(ISNUMBER(F85),IF(F85-INT(F85)=0,"","  Errore ! Inserire un numero intero senza decimali"),"  Errore ! Inserire un numero intero senza decimali")))</f>
        <v/>
      </c>
      <c r="K85" s="782" t="str">
        <f>LEFT(A85,3)</f>
        <v>WLF</v>
      </c>
      <c r="L85" s="782" t="str">
        <f>RIGHT(A85,3)</f>
        <v>471</v>
      </c>
      <c r="M85" s="782" t="str">
        <f>B85</f>
        <v>INT</v>
      </c>
      <c r="N85" s="782" t="str">
        <f>IF(ISNUMBER(F85),ROUND(F85,0),"")</f>
        <v/>
      </c>
    </row>
    <row r="86" spans="1:14" s="781" customFormat="1" ht="4.3499999999999996" customHeight="1" x14ac:dyDescent="0.15">
      <c r="A86" s="805"/>
      <c r="B86" s="805"/>
      <c r="D86" s="852"/>
      <c r="E86" s="796"/>
      <c r="F86" s="802"/>
      <c r="G86" s="803"/>
    </row>
    <row r="87" spans="1:14" s="781" customFormat="1" ht="30" customHeight="1" x14ac:dyDescent="0.15">
      <c r="A87" s="805" t="s">
        <v>1194</v>
      </c>
      <c r="B87" s="841" t="s">
        <v>656</v>
      </c>
      <c r="D87" s="806" t="s">
        <v>1195</v>
      </c>
      <c r="E87" s="796"/>
      <c r="F87" s="1128"/>
      <c r="G87" s="788" t="str">
        <f>IF(AND(ISBLANK(F87),C87="x",$N$8&gt;0),"Attenzione: domanda a risposta obbligatoria",IF(ISBLANK(F87),"",IF(ISNUMBER(F87),IF(F87-INT(F87)=0,"","  Errore ! Inserire un numero intero senza decimali"),"  Errore ! Inserire un numero intero senza decimali")))</f>
        <v/>
      </c>
      <c r="K87" s="782" t="str">
        <f>LEFT(A87,3)</f>
        <v>WLF</v>
      </c>
      <c r="L87" s="782" t="str">
        <f>RIGHT(A87,3)</f>
        <v>521</v>
      </c>
      <c r="M87" s="782" t="str">
        <f>B87</f>
        <v>INT</v>
      </c>
      <c r="N87" s="782" t="str">
        <f>IF(ISNUMBER(F87),ROUND(F87,0),"")</f>
        <v/>
      </c>
    </row>
    <row r="88" spans="1:14" s="781" customFormat="1" ht="4.3499999999999996" customHeight="1" x14ac:dyDescent="0.15">
      <c r="A88" s="805"/>
      <c r="B88" s="805"/>
      <c r="D88" s="852"/>
      <c r="E88" s="796"/>
      <c r="F88" s="802"/>
      <c r="G88" s="803"/>
    </row>
    <row r="89" spans="1:14" s="781" customFormat="1" ht="30" customHeight="1" x14ac:dyDescent="0.15">
      <c r="A89" s="1121" t="s">
        <v>678</v>
      </c>
      <c r="B89" s="1121"/>
      <c r="C89" s="1122"/>
      <c r="D89" s="1122" t="s">
        <v>679</v>
      </c>
      <c r="E89" s="1144"/>
      <c r="F89" s="1145"/>
      <c r="G89" s="812"/>
      <c r="I89" s="1140"/>
      <c r="J89" s="810"/>
    </row>
    <row r="90" spans="1:14" s="781" customFormat="1" ht="4.3499999999999996" customHeight="1" x14ac:dyDescent="0.15">
      <c r="A90" s="811"/>
      <c r="B90" s="811"/>
      <c r="D90" s="796"/>
      <c r="E90" s="796"/>
      <c r="F90" s="797"/>
      <c r="G90" s="812"/>
      <c r="I90" s="1140"/>
      <c r="J90" s="810"/>
    </row>
    <row r="91" spans="1:14" s="781" customFormat="1" ht="15" customHeight="1" x14ac:dyDescent="0.15">
      <c r="A91" s="799" t="s">
        <v>680</v>
      </c>
      <c r="B91" s="800" t="s">
        <v>391</v>
      </c>
      <c r="D91" s="795" t="s">
        <v>681</v>
      </c>
      <c r="F91" s="797"/>
      <c r="G91" s="813"/>
      <c r="K91" s="782" t="str">
        <f>LEFT(A91,3)</f>
        <v>INF</v>
      </c>
      <c r="L91" s="782" t="str">
        <f>RIGHT(A91,3)</f>
        <v>209</v>
      </c>
      <c r="M91" s="782" t="str">
        <f>B91</f>
        <v>NOTE</v>
      </c>
      <c r="N91" s="781" t="str">
        <f>IF(ISBLANK(D92),"",LEFT(D92,1500))</f>
        <v/>
      </c>
    </row>
    <row r="92" spans="1:14" s="781" customFormat="1" ht="45" customHeight="1" x14ac:dyDescent="0.15">
      <c r="A92" s="1146"/>
      <c r="B92" s="1146"/>
      <c r="D92" s="1558"/>
      <c r="E92" s="1559"/>
      <c r="F92" s="1560"/>
      <c r="G92" s="788" t="str">
        <f>IF(LEN(D92)&gt;1500,"Attenzione, è stato superato il numero massimo di 1500 caratteri","")</f>
        <v/>
      </c>
      <c r="I92" s="1140"/>
    </row>
    <row r="93" spans="1:14" s="781" customFormat="1" ht="15" customHeight="1" x14ac:dyDescent="0.15">
      <c r="A93" s="814"/>
      <c r="B93" s="814"/>
      <c r="D93" s="796"/>
      <c r="E93" s="796"/>
      <c r="F93" s="815"/>
      <c r="G93" s="812"/>
      <c r="I93" s="1140"/>
      <c r="J93" s="816"/>
    </row>
    <row r="94" spans="1:14" s="781" customFormat="1" ht="15" customHeight="1" x14ac:dyDescent="0.15">
      <c r="A94" s="799" t="s">
        <v>682</v>
      </c>
      <c r="B94" s="800" t="s">
        <v>391</v>
      </c>
      <c r="D94" s="795" t="s">
        <v>683</v>
      </c>
      <c r="F94" s="797"/>
      <c r="G94" s="813"/>
      <c r="K94" s="782" t="str">
        <f>LEFT(A94,3)</f>
        <v>INF</v>
      </c>
      <c r="L94" s="782" t="str">
        <f>RIGHT(A94,3)</f>
        <v>127</v>
      </c>
      <c r="M94" s="782" t="str">
        <f>B94</f>
        <v>NOTE</v>
      </c>
      <c r="N94" s="781" t="str">
        <f>IF(ISBLANK(D95),"",LEFT(D95,1500))</f>
        <v/>
      </c>
    </row>
    <row r="95" spans="1:14" s="781" customFormat="1" ht="45" customHeight="1" x14ac:dyDescent="0.15">
      <c r="A95" s="1146"/>
      <c r="B95" s="1146"/>
      <c r="D95" s="1558"/>
      <c r="E95" s="1559"/>
      <c r="F95" s="1560"/>
      <c r="G95" s="788" t="str">
        <f>IF(LEN(D95)&gt;1500,"Attenzione, è stato superato il numero massimo di 1500 caratteri","")</f>
        <v/>
      </c>
      <c r="I95" s="1140"/>
      <c r="K95" s="789" t="s">
        <v>531</v>
      </c>
    </row>
    <row r="96" spans="1:14" s="854" customFormat="1" x14ac:dyDescent="0.2">
      <c r="A96" s="853"/>
      <c r="B96" s="853"/>
      <c r="F96" s="855"/>
      <c r="G96" s="856"/>
    </row>
  </sheetData>
  <sheetProtection algorithmName="SHA-512" hashValue="EPSjF48SKCJlnbPoIIG5aCv2uac2C+bapakISXZrggwmzfDILlYs4OfC+unxrG3HZApi+1m1M8/d796fG+Tl5w==" saltValue="V38KTqnuwUAJkbDbYZJK/A==" spinCount="100000" sheet="1" formatColumns="0" selectLockedCells="1"/>
  <dataConsolidate/>
  <mergeCells count="4">
    <mergeCell ref="D95:F95"/>
    <mergeCell ref="G2:G3"/>
    <mergeCell ref="G5:G6"/>
    <mergeCell ref="D92:F92"/>
  </mergeCells>
  <dataValidations count="4">
    <dataValidation type="whole" operator="lessThan" allowBlank="1" showInputMessage="1" showErrorMessage="1" errorTitle="Errore di digitazione" error="Inserire solo numeri interi o lasciare vuoto." sqref="F55 F59 F37 F39 F41 F61 F53 F47 F29 F35 F19 F23 F25 F49 F51 F31 F33 F43 F45 F65 F67 F75 IS75 SO75 ACK75 AMG75 AWC75 BFY75 BPU75 BZQ75 CJM75 CTI75 DDE75 DNA75 DWW75 EGS75 EQO75 FAK75 FKG75 FUC75 GDY75 GNU75 GXQ75 HHM75 HRI75 IBE75 ILA75 IUW75 JES75 JOO75 JYK75 KIG75 KSC75 LBY75 LLU75 LVQ75 MFM75 MPI75 MZE75 NJA75 NSW75 OCS75 OMO75 OWK75 PGG75 PQC75 PZY75 QJU75 QTQ75 RDM75 RNI75 RXE75 SHA75 SQW75 TAS75 TKO75 TUK75 UEG75 UOC75 UXY75 VHU75 VRQ75 WBM75 WLI75 WVE75 F77 IS77 SO77 ACK77 AMG77 AWC77 BFY77 BPU77 BZQ77 CJM77 CTI77 DDE77 DNA77 DWW77 EGS77 EQO77 FAK77 FKG77 FUC77 GDY77 GNU77 GXQ77 HHM77 HRI77 IBE77 ILA77 IUW77 JES77 JOO77 JYK77 KIG77 KSC77 LBY77 LLU77 LVQ77 MFM77 MPI77 MZE77 NJA77 NSW77 OCS77 OMO77 OWK77 PGG77 PQC77 PZY77 QJU77 QTQ77 RDM77 RNI77 RXE77 SHA77 SQW77 TAS77 TKO77 TUK77 UEG77 UOC77 UXY77 VHU77 VRQ77 WBM77 WLI77 WVE77 F79 IS79 SO79 ACK79 AMG79 AWC79 BFY79 BPU79 BZQ79 CJM79 CTI79 DDE79 DNA79 DWW79 EGS79 EQO79 FAK79 FKG79 FUC79 GDY79 GNU79 GXQ79 HHM79 HRI79 IBE79 ILA79 IUW79 JES79 JOO79 JYK79 KIG79 KSC79 LBY79 LLU79 LVQ79 MFM79 MPI79 MZE79 NJA79 NSW79 OCS79 OMO79 OWK79 PGG79 PQC79 PZY79 QJU79 QTQ79 RDM79 RNI79 RXE79 SHA79 SQW79 TAS79 TKO79 TUK79 UEG79 UOC79 UXY79 VHU79 VRQ79 WBM79 WLI79 WVE79 F81 IS81 SO81 ACK81 AMG81 AWC81 BFY81 BPU81 BZQ81 CJM81 CTI81 DDE81 DNA81 DWW81 EGS81 EQO81 FAK81 FKG81 FUC81 GDY81 GNU81 GXQ81 HHM81 HRI81 IBE81 ILA81 IUW81 JES81 JOO81 JYK81 KIG81 KSC81 LBY81 LLU81 LVQ81 MFM81 MPI81 MZE81 NJA81 NSW81 OCS81 OMO81 OWK81 PGG81 PQC81 PZY81 QJU81 QTQ81 RDM81 RNI81 RXE81 SHA81 SQW81 TAS81 TKO81 TUK81 UEG81 UOC81 UXY81 VHU81 VRQ81 WBM81 WLI81 WVE81 F83 IS83 SO83 ACK83 AMG83 AWC83 BFY83 BPU83 BZQ83 CJM83 CTI83 DDE83 DNA83 DWW83 EGS83 EQO83 FAK83 FKG83 FUC83 GDY83 GNU83 GXQ83 HHM83 HRI83 IBE83 ILA83 IUW83 JES83 JOO83 JYK83 KIG83 KSC83 LBY83 LLU83 LVQ83 MFM83 MPI83 MZE83 NJA83 NSW83 OCS83 OMO83 OWK83 PGG83 PQC83 PZY83 QJU83 QTQ83 RDM83 RNI83 RXE83 SHA83 SQW83 TAS83 TKO83 TUK83 UEG83 UOC83 UXY83 VHU83 VRQ83 WBM83 WLI83 WVE83 F85 IS85 SO85 ACK85 AMG85 AWC85 BFY85 BPU85 BZQ85 CJM85 CTI85 DDE85 DNA85 DWW85 EGS85 EQO85 FAK85 FKG85 FUC85 GDY85 GNU85 GXQ85 HHM85 HRI85 IBE85 ILA85 IUW85 JES85 JOO85 JYK85 KIG85 KSC85 LBY85 LLU85 LVQ85 MFM85 MPI85 MZE85 NJA85 NSW85 OCS85 OMO85 OWK85 PGG85 PQC85 PZY85 QJU85 QTQ85 RDM85 RNI85 RXE85 SHA85 SQW85 TAS85 TKO85 TUK85 UEG85 UOC85 UXY85 VHU85 VRQ85 WBM85 WLI85 WVE85 F87" xr:uid="{F0DC895D-C829-477F-8880-4384B08FBD40}">
      <formula1>100000000000000</formula1>
    </dataValidation>
    <dataValidation type="list" allowBlank="1" showDropDown="1" showInputMessage="1" showErrorMessage="1" errorTitle="Errore di digitazione" error="Digitare 'S' o 'N' o lasciare in bianco" sqref="F63 F69 F71" xr:uid="{1C8F1CB5-00FA-491C-A63D-5887E9F01707}">
      <formula1>"s,n,S,N"</formula1>
    </dataValidation>
    <dataValidation type="textLength" allowBlank="1" showInputMessage="1" showErrorMessage="1" error="Inserire massimo 1500 caratteri" sqref="D95:F95 D92:F92" xr:uid="{FBE3BDEA-1307-4A39-9CA9-8C18A6DCBA3B}">
      <formula1>0</formula1>
      <formula2>1500</formula2>
    </dataValidation>
    <dataValidation type="date" allowBlank="1" showInputMessage="1" showErrorMessage="1" errorTitle="Errore di digitazione" error="Digitare una data non anteriore al 1 Gennaio dell'anno precedente alla di rilevazione (gg/mm/aaaa)" sqref="F15 F13 F17" xr:uid="{BE529D7E-77A7-4BAD-BEFC-457335E0971B}">
      <formula1>44562</formula1>
      <formula2>TODAY()</formula2>
    </dataValidation>
  </dataValidations>
  <printOptions horizontalCentered="1"/>
  <pageMargins left="0.39370078740157483" right="0.39370078740157483" top="0.78740157480314965" bottom="0.39370078740157483" header="0.31496062992125984" footer="0.31496062992125984"/>
  <pageSetup paperSize="9" scale="53"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P84"/>
  <sheetViews>
    <sheetView showGridLines="0" topLeftCell="A10" zoomScale="80" zoomScaleNormal="80" workbookViewId="0">
      <selection activeCell="F13" sqref="F13"/>
    </sheetView>
  </sheetViews>
  <sheetFormatPr defaultColWidth="12.6640625" defaultRowHeight="15" x14ac:dyDescent="0.2"/>
  <cols>
    <col min="1" max="1" width="10.6640625" style="817" customWidth="1"/>
    <col min="2" max="2" width="8.6640625" style="817" customWidth="1"/>
    <col min="3" max="3" width="2.6640625" style="794" customWidth="1"/>
    <col min="4" max="4" width="180.6640625" style="794" customWidth="1"/>
    <col min="5" max="5" width="2.6640625" style="794" customWidth="1"/>
    <col min="6" max="6" width="20.6640625" style="818" customWidth="1"/>
    <col min="7" max="7" width="50.6640625" style="793" customWidth="1"/>
    <col min="8" max="10" width="12.6640625" style="794" customWidth="1"/>
    <col min="11" max="13" width="12.6640625" style="794" hidden="1" customWidth="1"/>
    <col min="14" max="14" width="15.6640625" style="794" hidden="1" customWidth="1"/>
    <col min="15" max="16" width="12.6640625" style="794" customWidth="1"/>
    <col min="17" max="16384" width="12.6640625" style="794"/>
  </cols>
  <sheetData>
    <row r="1" spans="1:16" s="1096" customFormat="1" ht="35.1" customHeight="1" thickBot="1" x14ac:dyDescent="0.2">
      <c r="A1" s="1092"/>
      <c r="B1" s="1092"/>
      <c r="C1" s="1093"/>
      <c r="D1" s="1093"/>
      <c r="E1" s="1094"/>
      <c r="F1" s="1094"/>
      <c r="G1" s="907" t="s">
        <v>852</v>
      </c>
      <c r="H1" s="1147" t="s">
        <v>458</v>
      </c>
    </row>
    <row r="2" spans="1:16" s="1096" customFormat="1" ht="35.1" customHeight="1" x14ac:dyDescent="0.35">
      <c r="A2" s="1097" t="s">
        <v>643</v>
      </c>
      <c r="B2" s="1097"/>
      <c r="C2" s="1098"/>
      <c r="D2" s="1098"/>
      <c r="E2" s="1098"/>
      <c r="F2" s="1099"/>
      <c r="G2" s="1549" t="str">
        <f>IF(AND(ISBLANK($F$23),SUM('t15(4)'!$W:$W)+SUM('t15(4)'!$R:$R)&gt;0),"Attenzione: è necessario compilare la domanda LEG428 !!!","OK")</f>
        <v>OK</v>
      </c>
    </row>
    <row r="3" spans="1:16" s="1103" customFormat="1" ht="35.1" customHeight="1" thickBot="1" x14ac:dyDescent="0.4">
      <c r="A3" s="1097" t="s">
        <v>644</v>
      </c>
      <c r="B3" s="1097"/>
      <c r="C3" s="1100"/>
      <c r="D3" s="1100"/>
      <c r="E3" s="1101"/>
      <c r="F3" s="1102"/>
      <c r="G3" s="1553"/>
      <c r="K3" s="1104"/>
    </row>
    <row r="4" spans="1:16" s="1111" customFormat="1" ht="35.1" customHeight="1" thickBot="1" x14ac:dyDescent="0.2">
      <c r="A4" s="1105"/>
      <c r="B4" s="1106"/>
      <c r="C4" s="1107"/>
      <c r="D4" s="1107"/>
      <c r="E4" s="1108"/>
      <c r="F4" s="1109"/>
      <c r="G4" s="1110" t="s">
        <v>645</v>
      </c>
    </row>
    <row r="5" spans="1:16" s="1111" customFormat="1" ht="35.1" customHeight="1" x14ac:dyDescent="0.15">
      <c r="G5" s="1561" t="str">
        <f>IF(AND(ISBLANK(F13),ISBLANK(F17)),"OK",IF(AND(OR(ISBLANK(F13),YEAR(F13)&gt;'t1'!L1-1),OR(ISBLANK(F17),YEAR(F17)&gt;'t1'!L1-1)),"OK","Attenzione: almeno una data di certificazione è antececedente l'anno "&amp;'t1'!L1&amp;", è necessario giustificare"))</f>
        <v>OK</v>
      </c>
    </row>
    <row r="6" spans="1:16" s="1111" customFormat="1" ht="35.1" customHeight="1" thickBot="1" x14ac:dyDescent="0.2">
      <c r="A6" s="1112" t="str">
        <f>'t1'!$A$1</f>
        <v>ENTI PUBBLICI NON ECONOMICI - anno 2024</v>
      </c>
      <c r="B6" s="1112"/>
      <c r="C6" s="1113"/>
      <c r="D6" s="1114"/>
      <c r="E6" s="1113"/>
      <c r="F6" s="1113"/>
      <c r="G6" s="1562"/>
    </row>
    <row r="7" spans="1:16" s="1111" customFormat="1" ht="35.1" customHeight="1" x14ac:dyDescent="0.15">
      <c r="A7" s="1115"/>
      <c r="B7" s="1115"/>
      <c r="D7" s="1116" t="s">
        <v>689</v>
      </c>
      <c r="N7" s="792" t="s">
        <v>647</v>
      </c>
    </row>
    <row r="8" spans="1:16" s="1111" customFormat="1" ht="15" customHeight="1" x14ac:dyDescent="0.15">
      <c r="A8" s="1115"/>
      <c r="B8" s="1115"/>
      <c r="D8" s="1117"/>
      <c r="N8" s="1118">
        <f>(COUNTIF(F:F,"&lt;&gt;"&amp;"")+COUNTIF(D80,"&lt;&gt;"&amp;"")+COUNTIF(D83,"&lt;&gt;"&amp;""))</f>
        <v>0</v>
      </c>
    </row>
    <row r="9" spans="1:16" s="1111" customFormat="1" ht="10.35" customHeight="1" x14ac:dyDescent="0.15">
      <c r="A9" s="1115"/>
      <c r="B9" s="1115"/>
      <c r="D9" s="1117"/>
      <c r="N9" s="792"/>
    </row>
    <row r="10" spans="1:16" ht="10.35" customHeight="1" x14ac:dyDescent="0.2">
      <c r="A10" s="1152"/>
      <c r="B10" s="1152"/>
      <c r="D10" s="1153"/>
      <c r="E10" s="1152"/>
      <c r="F10" s="802"/>
    </row>
    <row r="11" spans="1:16" s="781" customFormat="1" ht="35.1" customHeight="1" x14ac:dyDescent="0.15">
      <c r="A11" s="1121" t="s">
        <v>648</v>
      </c>
      <c r="B11" s="1121"/>
      <c r="C11" s="1122"/>
      <c r="D11" s="1122" t="s">
        <v>649</v>
      </c>
      <c r="E11" s="1121"/>
      <c r="F11" s="1123"/>
      <c r="G11" s="795"/>
      <c r="K11" s="792" t="s">
        <v>650</v>
      </c>
      <c r="L11" s="792" t="s">
        <v>651</v>
      </c>
      <c r="M11" s="792" t="s">
        <v>652</v>
      </c>
      <c r="N11" s="792" t="s">
        <v>639</v>
      </c>
    </row>
    <row r="12" spans="1:16" s="781" customFormat="1" ht="4.3499999999999996" customHeight="1" x14ac:dyDescent="0.15">
      <c r="A12" s="796"/>
      <c r="B12" s="796"/>
      <c r="D12" s="796"/>
      <c r="E12" s="796"/>
      <c r="F12" s="797"/>
      <c r="G12" s="795"/>
      <c r="K12" s="798"/>
      <c r="L12" s="798"/>
      <c r="M12" s="798"/>
      <c r="N12" s="798"/>
    </row>
    <row r="13" spans="1:16" s="781" customFormat="1" ht="30" customHeight="1" x14ac:dyDescent="0.15">
      <c r="A13" s="828" t="s">
        <v>720</v>
      </c>
      <c r="B13" s="830" t="s">
        <v>654</v>
      </c>
      <c r="C13" s="877"/>
      <c r="D13" s="806" t="s">
        <v>883</v>
      </c>
      <c r="E13" s="831"/>
      <c r="F13" s="778"/>
      <c r="G13" s="1124" t="str">
        <f ca="1">IF(AND(ISBLANK(F13),C13="x",$N$8&gt;0),"Attenzione: domanda a risposta obbligatoria",IF(ISBLANK(F13),"",IF(AND(F13&gt;=DATE('t1'!$L$1-2,1,1),F13&lt;=TODAY()),"","Digitare una data non anteriore al 1 Gennaio "&amp;'t1'!$L$1-1&amp;" (gg/mm/aaaa)")))</f>
        <v/>
      </c>
      <c r="K13" s="782" t="str">
        <f>LEFT(A13,3)</f>
        <v>GEN</v>
      </c>
      <c r="L13" s="782" t="str">
        <f>RIGHT(A13,3)</f>
        <v>353</v>
      </c>
      <c r="M13" s="782" t="str">
        <f>B13</f>
        <v>DATE</v>
      </c>
      <c r="N13" s="1125" t="str">
        <f ca="1">IF(AND(F13&gt;=DATE('t1'!$L$1-1,1,1),F13&lt;=TODAY()),"'"&amp;DAY(F13)&amp;"/"&amp;MONTH(F13)&amp;"/"&amp;YEAR(F13),"")</f>
        <v/>
      </c>
    </row>
    <row r="14" spans="1:16" s="781" customFormat="1" ht="4.3499999999999996" customHeight="1" x14ac:dyDescent="0.15">
      <c r="A14" s="773"/>
      <c r="B14" s="773"/>
      <c r="C14" s="877"/>
      <c r="D14" s="852"/>
      <c r="E14" s="770"/>
      <c r="F14" s="776"/>
      <c r="G14" s="777"/>
    </row>
    <row r="15" spans="1:16" s="781" customFormat="1" ht="30" customHeight="1" x14ac:dyDescent="0.15">
      <c r="A15" s="828" t="s">
        <v>721</v>
      </c>
      <c r="B15" s="830" t="s">
        <v>654</v>
      </c>
      <c r="C15" s="877"/>
      <c r="D15" s="806" t="s">
        <v>884</v>
      </c>
      <c r="E15" s="831"/>
      <c r="F15" s="778"/>
      <c r="G15" s="1124" t="str">
        <f ca="1">IF(AND(ISBLANK(F15),C15="x",$N$8&gt;0),"Attenzione: domanda a risposta obbligatoria",IF(ISBLANK(F15),"",IF(AND(F15&gt;=DATE('t1'!$L$1-2,1,1),F15&lt;=TODAY()),"","Digitare una data non anteriore al 1 Gennaio "&amp;'t1'!$L$1-1&amp;" (gg/mm/aaaa)")))</f>
        <v/>
      </c>
      <c r="K15" s="782" t="str">
        <f>LEFT(A15,3)</f>
        <v>GEN</v>
      </c>
      <c r="L15" s="782" t="str">
        <f>RIGHT(A15,3)</f>
        <v>354</v>
      </c>
      <c r="M15" s="782" t="str">
        <f>B15</f>
        <v>DATE</v>
      </c>
      <c r="N15" s="1125" t="str">
        <f ca="1">IF(AND(F15&gt;=DATE('t1'!$L$1-1,1,1),F15&lt;=TODAY()),"'"&amp;DAY(F15)&amp;"/"&amp;MONTH(F15)&amp;"/"&amp;YEAR(F15),"")</f>
        <v/>
      </c>
      <c r="P15" s="819"/>
    </row>
    <row r="16" spans="1:16" s="781" customFormat="1" ht="4.3499999999999996" customHeight="1" x14ac:dyDescent="0.15">
      <c r="A16" s="773"/>
      <c r="B16" s="773"/>
      <c r="C16" s="877"/>
      <c r="D16" s="806"/>
      <c r="E16" s="770"/>
      <c r="F16" s="776"/>
      <c r="G16" s="777"/>
    </row>
    <row r="17" spans="1:14" s="781" customFormat="1" ht="30" customHeight="1" x14ac:dyDescent="0.15">
      <c r="A17" s="828" t="s">
        <v>722</v>
      </c>
      <c r="B17" s="830" t="s">
        <v>654</v>
      </c>
      <c r="C17" s="877"/>
      <c r="D17" s="806" t="s">
        <v>885</v>
      </c>
      <c r="E17" s="832"/>
      <c r="F17" s="778"/>
      <c r="G17" s="1124" t="str">
        <f ca="1">IF(AND(ISBLANK(F17),C17="x",$N$8&gt;0),"Attenzione: domanda a risposta obbligatoria",IF(ISBLANK(F17),"",IF(AND(F17&gt;=DATE('t1'!$L$1-2,1,1),F17&lt;=TODAY()),"","Digitare una data non anteriore al 1 Gennaio "&amp;'t1'!$L$1-1&amp;" (gg/mm/aaaa)")))</f>
        <v/>
      </c>
      <c r="K17" s="782" t="str">
        <f>LEFT(A17,3)</f>
        <v>GEN</v>
      </c>
      <c r="L17" s="782" t="str">
        <f>RIGHT(A17,3)</f>
        <v>355</v>
      </c>
      <c r="M17" s="782" t="str">
        <f>B17</f>
        <v>DATE</v>
      </c>
      <c r="N17" s="1125" t="str">
        <f ca="1">IF(AND(F17&gt;=DATE('t1'!$L$1-1,1,1),F17&lt;=TODAY()),"'"&amp;DAY(F17)&amp;"/"&amp;MONTH(F17)&amp;"/"&amp;YEAR(F17),"")</f>
        <v/>
      </c>
    </row>
    <row r="18" spans="1:14" s="781" customFormat="1" ht="4.3499999999999996" customHeight="1" x14ac:dyDescent="0.15">
      <c r="A18" s="773"/>
      <c r="B18" s="773"/>
      <c r="C18" s="877"/>
      <c r="D18" s="770"/>
      <c r="E18" s="770"/>
      <c r="F18" s="776"/>
      <c r="G18" s="777"/>
    </row>
    <row r="19" spans="1:14" s="781" customFormat="1" ht="30" customHeight="1" x14ac:dyDescent="0.15">
      <c r="A19" s="833" t="s">
        <v>655</v>
      </c>
      <c r="B19" s="834" t="s">
        <v>656</v>
      </c>
      <c r="C19" s="877" t="s">
        <v>910</v>
      </c>
      <c r="D19" s="829" t="s">
        <v>657</v>
      </c>
      <c r="E19" s="831"/>
      <c r="F19" s="835"/>
      <c r="G19" s="1124" t="str">
        <f>IF(AND(ISBLANK(F19),C19="x",$N$8&gt;0),"Attenzione: domanda a risposta obbligatoria",IF(AND(SUM(F13:F17)&gt;0,G5="ok",F19&gt;0),"Attenzione, dato incoerente",IF(ISBLANK(F19),"",IF(ISNUMBER(F19),IF(F19-INT(F19)=0,"","  Errore ! Inserire un numero intero senza decimali"),"  Errore ! Inserire un numero intero senza decimali"))))</f>
        <v/>
      </c>
      <c r="K19" s="782" t="str">
        <f>LEFT(A19,3)</f>
        <v>GEN</v>
      </c>
      <c r="L19" s="782" t="str">
        <f>RIGHT(A19,3)</f>
        <v>195</v>
      </c>
      <c r="M19" s="782" t="str">
        <f>B19</f>
        <v>INT</v>
      </c>
      <c r="N19" s="782" t="str">
        <f>IF(ISNUMBER(F19),ROUND(F19,0),"")</f>
        <v/>
      </c>
    </row>
    <row r="20" spans="1:14" s="781" customFormat="1" ht="4.3499999999999996" customHeight="1" x14ac:dyDescent="0.15">
      <c r="A20" s="780"/>
      <c r="B20" s="780"/>
      <c r="C20" s="877"/>
      <c r="D20" s="770"/>
      <c r="E20" s="770"/>
      <c r="F20" s="771"/>
      <c r="G20" s="777"/>
    </row>
    <row r="21" spans="1:14" s="781" customFormat="1" ht="30" customHeight="1" x14ac:dyDescent="0.15">
      <c r="A21" s="1121" t="s">
        <v>658</v>
      </c>
      <c r="B21" s="1121"/>
      <c r="C21" s="1126"/>
      <c r="D21" s="1122" t="s">
        <v>753</v>
      </c>
      <c r="E21" s="1121"/>
      <c r="F21" s="1123"/>
      <c r="G21" s="777"/>
    </row>
    <row r="22" spans="1:14" s="831" customFormat="1" ht="4.3499999999999996" customHeight="1" x14ac:dyDescent="0.15">
      <c r="A22" s="842"/>
      <c r="B22" s="842"/>
      <c r="C22" s="876"/>
      <c r="D22" s="842"/>
      <c r="E22" s="842"/>
      <c r="F22" s="843"/>
      <c r="G22" s="844"/>
      <c r="I22" s="1127"/>
      <c r="J22" s="845"/>
    </row>
    <row r="23" spans="1:14" s="781" customFormat="1" ht="30" customHeight="1" x14ac:dyDescent="0.15">
      <c r="A23" s="828" t="s">
        <v>856</v>
      </c>
      <c r="B23" s="830" t="s">
        <v>656</v>
      </c>
      <c r="C23" s="877" t="s">
        <v>910</v>
      </c>
      <c r="D23" s="829" t="s">
        <v>857</v>
      </c>
      <c r="F23" s="1128"/>
      <c r="G23" s="788" t="str">
        <f>IF(AND(ISBLANK(F23),C23="x",$N$8&gt;0),"Attenzione: domanda a risposta obbligatoria",IF(ISBLANK(F23),"",IF(ISNUMBER(F23),IF(F23-INT(F23)=0,"","  Errore ! Inserire un numero intero senza decimali"),"  Errore ! Inserire un numero intero senza decimali")))</f>
        <v/>
      </c>
      <c r="K23" s="782" t="str">
        <f>LEFT(A23,3)</f>
        <v>LEG</v>
      </c>
      <c r="L23" s="782" t="str">
        <f>RIGHT(A23,3)</f>
        <v>428</v>
      </c>
      <c r="M23" s="782" t="str">
        <f>B23</f>
        <v>INT</v>
      </c>
      <c r="N23" s="782" t="str">
        <f>IF(ISNUMBER(F23),ROUND(F23,0),"")</f>
        <v/>
      </c>
    </row>
    <row r="24" spans="1:14" s="781" customFormat="1" ht="4.3499999999999996" customHeight="1" x14ac:dyDescent="0.15">
      <c r="A24" s="770"/>
      <c r="B24" s="846"/>
      <c r="C24" s="877"/>
      <c r="D24" s="846"/>
      <c r="E24" s="770"/>
      <c r="F24" s="771"/>
      <c r="G24" s="1148"/>
    </row>
    <row r="25" spans="1:14" s="781" customFormat="1" ht="30" customHeight="1" x14ac:dyDescent="0.15">
      <c r="A25" s="805" t="s">
        <v>825</v>
      </c>
      <c r="B25" s="841" t="s">
        <v>656</v>
      </c>
      <c r="C25" s="877"/>
      <c r="D25" s="863" t="s">
        <v>911</v>
      </c>
      <c r="E25" s="1136"/>
      <c r="F25" s="1137"/>
      <c r="G25" s="788" t="str">
        <f>IF(AND(ISBLANK(F25),C25="x",$N$8&gt;0),"Attenzione: domanda a risposta obbligatoria",IF(ISBLANK(F25),"",IF(ISNUMBER(F25),IF(F25-INT(F25)=0,"","  Errore ! Inserire un numero intero senza decimali"),"  Errore ! Inserire un numero intero senza decimali")))</f>
        <v/>
      </c>
      <c r="K25" s="782" t="str">
        <f>LEFT(A25,3)</f>
        <v>LEG</v>
      </c>
      <c r="L25" s="782" t="str">
        <f>RIGHT(A25,3)</f>
        <v>398</v>
      </c>
      <c r="M25" s="782" t="str">
        <f>B25</f>
        <v>INT</v>
      </c>
      <c r="N25" s="782" t="str">
        <f>IF(ISNUMBER(F25),ROUND(F25,0),"")</f>
        <v/>
      </c>
    </row>
    <row r="26" spans="1:14" s="781" customFormat="1" ht="4.3499999999999996" customHeight="1" x14ac:dyDescent="0.15">
      <c r="A26" s="799"/>
      <c r="B26" s="799"/>
      <c r="C26" s="877"/>
      <c r="D26" s="807"/>
      <c r="E26" s="796"/>
      <c r="F26" s="802"/>
      <c r="G26" s="803"/>
    </row>
    <row r="27" spans="1:14" s="781" customFormat="1" ht="30" customHeight="1" x14ac:dyDescent="0.15">
      <c r="A27" s="1121" t="s">
        <v>659</v>
      </c>
      <c r="B27" s="1121"/>
      <c r="C27" s="1126"/>
      <c r="D27" s="1122" t="s">
        <v>660</v>
      </c>
      <c r="E27" s="1121"/>
      <c r="F27" s="1123"/>
      <c r="G27" s="803"/>
    </row>
    <row r="28" spans="1:14" s="781" customFormat="1" ht="4.3499999999999996" customHeight="1" x14ac:dyDescent="0.15">
      <c r="A28" s="796"/>
      <c r="B28" s="796"/>
      <c r="C28" s="877"/>
      <c r="D28" s="796"/>
      <c r="E28" s="796"/>
      <c r="F28" s="797"/>
      <c r="G28" s="803"/>
    </row>
    <row r="29" spans="1:14" s="781" customFormat="1" ht="30" customHeight="1" x14ac:dyDescent="0.15">
      <c r="A29" s="805" t="s">
        <v>690</v>
      </c>
      <c r="B29" s="800" t="s">
        <v>656</v>
      </c>
      <c r="C29" s="877"/>
      <c r="D29" s="795" t="s">
        <v>691</v>
      </c>
      <c r="F29" s="1128"/>
      <c r="G29" s="788" t="str">
        <f>IF(AND(ISBLANK(F29),C29="x",$N$8&gt;0),"Attenzione: domanda a risposta obbligatoria",IF(ISBLANK(F29),"",IF(ISNUMBER(F29),IF(F29-INT(F29)=0,"","  Errore ! Inserire un numero intero senza decimali"),"  Errore ! Inserire un numero intero senza decimali")))</f>
        <v/>
      </c>
      <c r="K29" s="782" t="str">
        <f>LEFT(A29,3)</f>
        <v>ORG</v>
      </c>
      <c r="L29" s="782" t="str">
        <f>RIGHT(A29,3)</f>
        <v>129</v>
      </c>
      <c r="M29" s="782" t="str">
        <f>B29</f>
        <v>INT</v>
      </c>
      <c r="N29" s="782" t="str">
        <f>IF(ISNUMBER(F29),ROUND(F29,0),"")</f>
        <v/>
      </c>
    </row>
    <row r="30" spans="1:14" s="781" customFormat="1" ht="4.3499999999999996" customHeight="1" x14ac:dyDescent="0.15">
      <c r="A30" s="808"/>
      <c r="B30" s="808"/>
      <c r="C30" s="877"/>
      <c r="D30" s="796"/>
      <c r="E30" s="796"/>
      <c r="F30" s="797"/>
      <c r="G30" s="777"/>
      <c r="I30" s="1140"/>
      <c r="J30" s="810"/>
    </row>
    <row r="31" spans="1:14" s="781" customFormat="1" ht="30" customHeight="1" x14ac:dyDescent="0.15">
      <c r="A31" s="805" t="s">
        <v>692</v>
      </c>
      <c r="B31" s="800" t="s">
        <v>656</v>
      </c>
      <c r="C31" s="877"/>
      <c r="D31" s="795" t="s">
        <v>809</v>
      </c>
      <c r="F31" s="1128"/>
      <c r="G31" s="788" t="str">
        <f>IF(AND(ISBLANK(F31),C31="x",$N$8&gt;0),"Attenzione: domanda a risposta obbligatoria",IF(ISBLANK(F31),"",IF(ISNUMBER(F31),IF(F31-INT(F31)=0,"","  Errore ! Inserire un numero intero senza decimali"),"  Errore ! Inserire un numero intero senza decimali")))</f>
        <v/>
      </c>
      <c r="K31" s="782" t="str">
        <f>LEFT(A31,3)</f>
        <v>ORG</v>
      </c>
      <c r="L31" s="782" t="str">
        <f>RIGHT(A31,3)</f>
        <v>148</v>
      </c>
      <c r="M31" s="782" t="str">
        <f>B31</f>
        <v>INT</v>
      </c>
      <c r="N31" s="782" t="str">
        <f>IF(ISNUMBER(F31),ROUND(F31,0),"")</f>
        <v/>
      </c>
    </row>
    <row r="32" spans="1:14" s="781" customFormat="1" ht="4.3499999999999996" customHeight="1" x14ac:dyDescent="0.15">
      <c r="A32" s="808"/>
      <c r="B32" s="808"/>
      <c r="C32" s="877"/>
      <c r="D32" s="796"/>
      <c r="E32" s="796"/>
      <c r="F32" s="797"/>
      <c r="G32" s="777"/>
      <c r="I32" s="1140"/>
      <c r="J32" s="810"/>
    </row>
    <row r="33" spans="1:14" s="781" customFormat="1" ht="30" customHeight="1" x14ac:dyDescent="0.15">
      <c r="A33" s="805" t="s">
        <v>693</v>
      </c>
      <c r="B33" s="800" t="s">
        <v>656</v>
      </c>
      <c r="C33" s="877"/>
      <c r="D33" s="795" t="s">
        <v>810</v>
      </c>
      <c r="F33" s="1128"/>
      <c r="G33" s="788" t="str">
        <f>IF(AND(ISBLANK(F33),C33="x",$N$8&gt;0),"Attenzione: domanda a risposta obbligatoria",IF(ISBLANK(F33),"",IF(ISNUMBER(F33),IF(F33-INT(F33)=0,"","  Errore ! Inserire un numero intero senza decimali"),"  Errore ! Inserire un numero intero senza decimali")))</f>
        <v/>
      </c>
      <c r="K33" s="782" t="str">
        <f>LEFT(A33,3)</f>
        <v>ORG</v>
      </c>
      <c r="L33" s="782" t="str">
        <f>RIGHT(A33,3)</f>
        <v>200</v>
      </c>
      <c r="M33" s="782" t="str">
        <f>B33</f>
        <v>INT</v>
      </c>
      <c r="N33" s="782" t="str">
        <f>IF(ISNUMBER(F33),ROUND(F33,0),"")</f>
        <v/>
      </c>
    </row>
    <row r="34" spans="1:14" s="781" customFormat="1" ht="4.3499999999999996" customHeight="1" x14ac:dyDescent="0.15">
      <c r="A34" s="805"/>
      <c r="B34" s="805"/>
      <c r="C34" s="877"/>
      <c r="D34" s="796"/>
      <c r="E34" s="796"/>
      <c r="F34" s="797"/>
      <c r="G34" s="785"/>
      <c r="I34" s="1140"/>
      <c r="J34" s="810"/>
    </row>
    <row r="35" spans="1:14" s="781" customFormat="1" ht="30" customHeight="1" x14ac:dyDescent="0.15">
      <c r="A35" s="805" t="s">
        <v>694</v>
      </c>
      <c r="B35" s="800" t="s">
        <v>656</v>
      </c>
      <c r="C35" s="877"/>
      <c r="D35" s="795" t="s">
        <v>811</v>
      </c>
      <c r="F35" s="1128"/>
      <c r="G35" s="788" t="str">
        <f>IF(AND(ISBLANK(F35),C35="x",$N$8&gt;0),"Attenzione: domanda a risposta obbligatoria",IF(ISBLANK(F35),"",IF(ISNUMBER(F35),IF(F35-INT(F35)=0,"","  Errore ! Inserire un numero intero senza decimali"),"  Errore ! Inserire un numero intero senza decimali")))</f>
        <v/>
      </c>
      <c r="K35" s="782" t="str">
        <f>LEFT(A35,3)</f>
        <v>ORG</v>
      </c>
      <c r="L35" s="782" t="str">
        <f>RIGHT(A35,3)</f>
        <v>186</v>
      </c>
      <c r="M35" s="782" t="str">
        <f>B35</f>
        <v>INT</v>
      </c>
      <c r="N35" s="782" t="str">
        <f>IF(ISNUMBER(F35),ROUND(F35,0),"")</f>
        <v/>
      </c>
    </row>
    <row r="36" spans="1:14" s="781" customFormat="1" ht="4.3499999999999996" customHeight="1" x14ac:dyDescent="0.15">
      <c r="A36" s="805"/>
      <c r="B36" s="805"/>
      <c r="C36" s="877"/>
      <c r="D36" s="796"/>
      <c r="E36" s="796"/>
      <c r="F36" s="797"/>
      <c r="G36" s="785"/>
      <c r="I36" s="1140"/>
      <c r="J36" s="810"/>
    </row>
    <row r="37" spans="1:14" s="781" customFormat="1" ht="30" customHeight="1" x14ac:dyDescent="0.15">
      <c r="A37" s="805" t="s">
        <v>695</v>
      </c>
      <c r="B37" s="800" t="s">
        <v>656</v>
      </c>
      <c r="C37" s="877"/>
      <c r="D37" s="795" t="s">
        <v>696</v>
      </c>
      <c r="F37" s="1128"/>
      <c r="G37" s="788" t="str">
        <f>IF(AND(ISBLANK(F37),C37="x",$N$8&gt;0),"Attenzione: domanda a risposta obbligatoria",IF(ISBLANK(F37),"",IF(ISNUMBER(F37),IF(F37-INT(F37)=0,"","  Errore ! Inserire un numero intero senza decimali"),"  Errore ! Inserire un numero intero senza decimali")))</f>
        <v/>
      </c>
      <c r="K37" s="782" t="str">
        <f>LEFT(A37,3)</f>
        <v>ORG</v>
      </c>
      <c r="L37" s="782" t="str">
        <f>RIGHT(A37,3)</f>
        <v>180</v>
      </c>
      <c r="M37" s="782" t="str">
        <f>B37</f>
        <v>INT</v>
      </c>
      <c r="N37" s="782" t="str">
        <f>IF(ISNUMBER(F37),ROUND(F37,0),"")</f>
        <v/>
      </c>
    </row>
    <row r="38" spans="1:14" s="781" customFormat="1" ht="4.3499999999999996" customHeight="1" x14ac:dyDescent="0.15">
      <c r="A38" s="805"/>
      <c r="B38" s="805"/>
      <c r="C38" s="877"/>
      <c r="D38" s="796"/>
      <c r="E38" s="796"/>
      <c r="F38" s="797"/>
      <c r="G38" s="785"/>
      <c r="I38" s="1140"/>
      <c r="J38" s="810"/>
    </row>
    <row r="39" spans="1:14" s="781" customFormat="1" ht="30" customHeight="1" x14ac:dyDescent="0.15">
      <c r="A39" s="805" t="s">
        <v>697</v>
      </c>
      <c r="B39" s="800" t="s">
        <v>656</v>
      </c>
      <c r="C39" s="877"/>
      <c r="D39" s="795" t="s">
        <v>812</v>
      </c>
      <c r="F39" s="1128"/>
      <c r="G39" s="788" t="str">
        <f>IF(AND(ISBLANK(F39),C39="x",$N$8&gt;0),"Attenzione: domanda a risposta obbligatoria",IF(ISBLANK(F39),"",IF(ISNUMBER(F39),IF(F39-INT(F39)=0,"","  Errore ! Inserire un numero intero senza decimali"),"  Errore ! Inserire un numero intero senza decimali")))</f>
        <v/>
      </c>
      <c r="K39" s="782" t="str">
        <f>LEFT(A39,3)</f>
        <v>ORG</v>
      </c>
      <c r="L39" s="782" t="str">
        <f>RIGHT(A39,3)</f>
        <v>122</v>
      </c>
      <c r="M39" s="782" t="str">
        <f>B39</f>
        <v>INT</v>
      </c>
      <c r="N39" s="782" t="str">
        <f>IF(ISNUMBER(F39),ROUND(F39,0),"")</f>
        <v/>
      </c>
    </row>
    <row r="40" spans="1:14" s="781" customFormat="1" ht="4.3499999999999996" customHeight="1" x14ac:dyDescent="0.15">
      <c r="A40" s="805"/>
      <c r="B40" s="805"/>
      <c r="C40" s="877"/>
      <c r="D40" s="796"/>
      <c r="E40" s="796"/>
      <c r="F40" s="797"/>
      <c r="G40" s="785"/>
      <c r="I40" s="1140"/>
      <c r="J40" s="810"/>
    </row>
    <row r="41" spans="1:14" s="781" customFormat="1" ht="30" customHeight="1" x14ac:dyDescent="0.15">
      <c r="A41" s="805" t="s">
        <v>698</v>
      </c>
      <c r="B41" s="800" t="s">
        <v>656</v>
      </c>
      <c r="C41" s="877"/>
      <c r="D41" s="795" t="s">
        <v>813</v>
      </c>
      <c r="F41" s="1128"/>
      <c r="G41" s="788" t="str">
        <f>IF(AND(ISBLANK(F41),C41="x",$N$8&gt;0),"Attenzione: domanda a risposta obbligatoria",IF(ISBLANK(F41),"",IF(ISNUMBER(F41),IF(F41-INT(F41)=0,"","  Errore ! Inserire un numero intero senza decimali"),"  Errore ! Inserire un numero intero senza decimali")))</f>
        <v/>
      </c>
      <c r="K41" s="782" t="str">
        <f>LEFT(A41,3)</f>
        <v>ORG</v>
      </c>
      <c r="L41" s="782" t="str">
        <f>RIGHT(A41,3)</f>
        <v>141</v>
      </c>
      <c r="M41" s="782" t="str">
        <f>B41</f>
        <v>INT</v>
      </c>
      <c r="N41" s="782" t="str">
        <f>IF(ISNUMBER(F41),ROUND(F41,0),"")</f>
        <v/>
      </c>
    </row>
    <row r="42" spans="1:14" s="781" customFormat="1" ht="4.3499999999999996" customHeight="1" x14ac:dyDescent="0.15">
      <c r="A42" s="805"/>
      <c r="B42" s="805"/>
      <c r="C42" s="877"/>
      <c r="D42" s="796"/>
      <c r="E42" s="796"/>
      <c r="F42" s="797"/>
      <c r="G42" s="785"/>
      <c r="I42" s="1140"/>
      <c r="J42" s="810"/>
    </row>
    <row r="43" spans="1:14" s="781" customFormat="1" ht="30" customHeight="1" x14ac:dyDescent="0.15">
      <c r="A43" s="805" t="s">
        <v>699</v>
      </c>
      <c r="B43" s="800" t="s">
        <v>656</v>
      </c>
      <c r="C43" s="877"/>
      <c r="D43" s="795" t="s">
        <v>814</v>
      </c>
      <c r="F43" s="1128"/>
      <c r="G43" s="788" t="str">
        <f>IF(AND(ISBLANK(F43),C43="x",$N$8&gt;0),"Attenzione: domanda a risposta obbligatoria",IF(ISBLANK(F43),"",IF(ISNUMBER(F43),IF(F43-INT(F43)=0,"","  Errore ! Inserire un numero intero senza decimali"),"  Errore ! Inserire un numero intero senza decimali")))</f>
        <v/>
      </c>
      <c r="K43" s="782" t="str">
        <f>LEFT(A43,3)</f>
        <v>ORG</v>
      </c>
      <c r="L43" s="782" t="str">
        <f>RIGHT(A43,3)</f>
        <v>197</v>
      </c>
      <c r="M43" s="782" t="str">
        <f>B43</f>
        <v>INT</v>
      </c>
      <c r="N43" s="782" t="str">
        <f>IF(ISNUMBER(F43),ROUND(F43,0),"")</f>
        <v/>
      </c>
    </row>
    <row r="44" spans="1:14" s="781" customFormat="1" ht="4.3499999999999996" customHeight="1" x14ac:dyDescent="0.15">
      <c r="A44" s="804"/>
      <c r="B44" s="804"/>
      <c r="C44" s="877"/>
      <c r="D44" s="796"/>
      <c r="E44" s="796"/>
      <c r="F44" s="797"/>
      <c r="G44" s="803"/>
    </row>
    <row r="45" spans="1:14" s="781" customFormat="1" ht="30" customHeight="1" x14ac:dyDescent="0.15">
      <c r="A45" s="1121" t="s">
        <v>675</v>
      </c>
      <c r="B45" s="1121"/>
      <c r="C45" s="1126"/>
      <c r="D45" s="1122" t="s">
        <v>799</v>
      </c>
      <c r="E45" s="1121"/>
      <c r="F45" s="1123"/>
      <c r="G45" s="788"/>
    </row>
    <row r="46" spans="1:14" s="781" customFormat="1" ht="4.3499999999999996" customHeight="1" x14ac:dyDescent="0.15">
      <c r="A46" s="796"/>
      <c r="B46" s="796"/>
      <c r="C46" s="877"/>
      <c r="D46" s="796"/>
      <c r="E46" s="796"/>
      <c r="F46" s="797"/>
      <c r="G46" s="803"/>
    </row>
    <row r="47" spans="1:14" s="781" customFormat="1" ht="30" customHeight="1" x14ac:dyDescent="0.15">
      <c r="A47" s="805" t="s">
        <v>676</v>
      </c>
      <c r="B47" s="800" t="s">
        <v>656</v>
      </c>
      <c r="C47" s="877"/>
      <c r="D47" s="806" t="s">
        <v>803</v>
      </c>
      <c r="F47" s="1128"/>
      <c r="G47" s="788" t="str">
        <f>IF(AND(ISBLANK(F47),C47="x",$N$8&gt;0),"Attenzione: domanda a risposta obbligatoria",IF(ISBLANK(F47),"",IF(ISNUMBER(F47),IF(F47-INT(F47)=0,"","  Errore ! Inserire un numero intero senza decimali"),"  Errore ! Inserire un numero intero senza decimali")))</f>
        <v/>
      </c>
      <c r="K47" s="782" t="str">
        <f>LEFT(A47,3)</f>
        <v>PRD</v>
      </c>
      <c r="L47" s="782" t="str">
        <f>RIGHT(A47,3)</f>
        <v>137</v>
      </c>
      <c r="M47" s="782" t="str">
        <f>B47</f>
        <v>INT</v>
      </c>
      <c r="N47" s="782" t="str">
        <f>IF(ISNUMBER(F47),ROUND(F47,0),"")</f>
        <v/>
      </c>
    </row>
    <row r="48" spans="1:14" s="781" customFormat="1" ht="4.3499999999999996" customHeight="1" x14ac:dyDescent="0.15">
      <c r="A48" s="805"/>
      <c r="B48" s="805"/>
      <c r="C48" s="877"/>
      <c r="D48" s="796"/>
      <c r="E48" s="796"/>
      <c r="F48" s="797"/>
      <c r="G48" s="785"/>
      <c r="I48" s="1140"/>
      <c r="J48" s="810"/>
    </row>
    <row r="49" spans="1:14" s="781" customFormat="1" ht="30" customHeight="1" x14ac:dyDescent="0.15">
      <c r="A49" s="805" t="s">
        <v>677</v>
      </c>
      <c r="B49" s="800" t="s">
        <v>656</v>
      </c>
      <c r="C49" s="877"/>
      <c r="D49" s="806" t="s">
        <v>804</v>
      </c>
      <c r="F49" s="1128"/>
      <c r="G49" s="788" t="str">
        <f>IF(AND(ISBLANK(F49),C49="x",$N$8&gt;0),"Attenzione: domanda a risposta obbligatoria",IF(ISBLANK(F49),"",IF(ISNUMBER(F49),IF(F49-INT(F49)=0,"","  Errore ! Inserire un numero intero senza decimali"),"  Errore ! Inserire un numero intero senza decimali")))</f>
        <v/>
      </c>
      <c r="K49" s="782" t="str">
        <f>LEFT(A49,3)</f>
        <v>PRD</v>
      </c>
      <c r="L49" s="782" t="str">
        <f>RIGHT(A49,3)</f>
        <v>115</v>
      </c>
      <c r="M49" s="782" t="str">
        <f>B49</f>
        <v>INT</v>
      </c>
      <c r="N49" s="782" t="str">
        <f>IF(ISNUMBER(F49),ROUND(F49,0),"")</f>
        <v/>
      </c>
    </row>
    <row r="50" spans="1:14" s="781" customFormat="1" ht="4.3499999999999996" customHeight="1" x14ac:dyDescent="0.15">
      <c r="A50" s="805"/>
      <c r="B50" s="805"/>
      <c r="C50" s="877"/>
      <c r="D50" s="796"/>
      <c r="E50" s="796"/>
      <c r="F50" s="797"/>
      <c r="G50" s="809"/>
      <c r="I50" s="1140"/>
      <c r="J50" s="810"/>
    </row>
    <row r="51" spans="1:14" s="832" customFormat="1" ht="30" customHeight="1" x14ac:dyDescent="0.15">
      <c r="A51" s="828" t="s">
        <v>1124</v>
      </c>
      <c r="B51" s="830" t="s">
        <v>653</v>
      </c>
      <c r="C51" s="1159"/>
      <c r="D51" s="829" t="s">
        <v>1125</v>
      </c>
      <c r="F51" s="1362"/>
      <c r="G51" s="1363" t="str">
        <f>IF(AND(ISBLANK(F51),C51="x",$N$8&gt;0),"Attenzione: domanda a risposta obbligatoria",IF(ISBLANK(F51),"",IF(AND(LEN(F51)=1,OR(UPPER(F51)="N",UPPER(F51)="S")),"",IF(ISBLANK(F51),"","  Errore ! Inserire S o N"))))</f>
        <v/>
      </c>
      <c r="K51" s="1364" t="str">
        <f>LEFT(A51,3)</f>
        <v>PRD</v>
      </c>
      <c r="L51" s="1364" t="str">
        <f>RIGHT(A51,3)</f>
        <v>480</v>
      </c>
      <c r="M51" s="1364" t="str">
        <f>B51</f>
        <v>FLAG</v>
      </c>
      <c r="N51" s="1365" t="str">
        <f>IF(AND(LEN(F51)=1,OR(UPPER(F51)="N",UPPER(F51)="S")),UPPER(F51),"")</f>
        <v/>
      </c>
    </row>
    <row r="52" spans="1:14" s="832" customFormat="1" ht="4.3499999999999996" customHeight="1" x14ac:dyDescent="0.15">
      <c r="A52" s="828"/>
      <c r="B52" s="828"/>
      <c r="C52" s="1159"/>
      <c r="D52" s="1374"/>
      <c r="E52" s="1132"/>
      <c r="F52" s="1133"/>
      <c r="G52" s="1366"/>
    </row>
    <row r="53" spans="1:14" s="832" customFormat="1" ht="30" customHeight="1" x14ac:dyDescent="0.15">
      <c r="A53" s="828" t="s">
        <v>1126</v>
      </c>
      <c r="B53" s="830" t="s">
        <v>656</v>
      </c>
      <c r="C53" s="1159"/>
      <c r="D53" s="829" t="s">
        <v>1127</v>
      </c>
      <c r="F53" s="1157"/>
      <c r="G53" s="1363" t="str">
        <f>IF(AND(ISBLANK(F53),C53="x",$N$8&gt;0),"Attenzione: domanda a risposta obbligatoria",IF(ISBLANK(F53),"",IF(ISNUMBER(F53),IF(F53-INT(F53)=0,"","  Errore ! Inserire un numero intero senza decimali"),"  Errore ! Inserire un numero intero senza decimali")))</f>
        <v/>
      </c>
      <c r="K53" s="1364" t="str">
        <f>LEFT(A53,3)</f>
        <v>PRD</v>
      </c>
      <c r="L53" s="1364" t="str">
        <f>RIGHT(A53,3)</f>
        <v>481</v>
      </c>
      <c r="M53" s="1364" t="str">
        <f>B53</f>
        <v>INT</v>
      </c>
      <c r="N53" s="1364" t="str">
        <f>IF(ISNUMBER(F53),ROUND(F53,0),"")</f>
        <v/>
      </c>
    </row>
    <row r="54" spans="1:14" s="832" customFormat="1" ht="4.3499999999999996" customHeight="1" x14ac:dyDescent="0.15">
      <c r="A54" s="828"/>
      <c r="B54" s="828"/>
      <c r="C54" s="1159"/>
      <c r="D54" s="1374"/>
      <c r="E54" s="1132"/>
      <c r="F54" s="1133"/>
      <c r="G54" s="1366"/>
    </row>
    <row r="55" spans="1:14" s="832" customFormat="1" ht="30" customHeight="1" x14ac:dyDescent="0.15">
      <c r="A55" s="828" t="s">
        <v>1128</v>
      </c>
      <c r="B55" s="830" t="s">
        <v>656</v>
      </c>
      <c r="C55" s="1159"/>
      <c r="D55" s="829" t="s">
        <v>1129</v>
      </c>
      <c r="F55" s="1157"/>
      <c r="G55" s="1363" t="str">
        <f>IF(AND(ISBLANK(F55),C55="x",$N$8&gt;0),"Attenzione: domanda a risposta obbligatoria",IF(ISBLANK(F55),"",IF(ISNUMBER(F55),IF(F55-INT(F55)=0,"","  Errore ! Inserire un numero intero senza decimali"),"  Errore ! Inserire un numero intero senza decimali")))</f>
        <v/>
      </c>
      <c r="K55" s="1364" t="str">
        <f>LEFT(A55,3)</f>
        <v>PRD</v>
      </c>
      <c r="L55" s="1364" t="str">
        <f>RIGHT(A55,3)</f>
        <v>482</v>
      </c>
      <c r="M55" s="1364" t="str">
        <f>B55</f>
        <v>INT</v>
      </c>
      <c r="N55" s="1364" t="str">
        <f>IF(ISNUMBER(F55),ROUND(F55,0),"")</f>
        <v/>
      </c>
    </row>
    <row r="56" spans="1:14" s="832" customFormat="1" ht="4.3499999999999996" customHeight="1" x14ac:dyDescent="0.15">
      <c r="A56" s="828"/>
      <c r="B56" s="828"/>
      <c r="D56" s="1367"/>
      <c r="E56" s="1132"/>
      <c r="F56" s="1133"/>
      <c r="G56" s="1366"/>
    </row>
    <row r="57" spans="1:14" s="781" customFormat="1" ht="30" customHeight="1" x14ac:dyDescent="0.15">
      <c r="A57" s="805" t="s">
        <v>1196</v>
      </c>
      <c r="B57" s="841" t="s">
        <v>653</v>
      </c>
      <c r="C57" s="1136"/>
      <c r="D57" s="806" t="s">
        <v>1197</v>
      </c>
      <c r="F57" s="1128"/>
      <c r="G57" s="1385" t="str">
        <f>IF(AND(ISBLANK(F57),C57="x",$N$8&gt;0),"Attenzione: domanda a risposta obbligatoria",IF(ISBLANK(F57),"",IF(AND(LEN(F57)=1,OR(UPPER(F57)="N",UPPER(F57)="S")),"",IF(ISBLANK(F57),"","  Errore ! Inserire S o N"))))</f>
        <v/>
      </c>
      <c r="K57" s="782" t="str">
        <f>LEFT(A57,3)</f>
        <v>PRD</v>
      </c>
      <c r="L57" s="782" t="str">
        <f>RIGHT(A57,3)</f>
        <v>541</v>
      </c>
      <c r="M57" s="782" t="str">
        <f>B57</f>
        <v>FLAG</v>
      </c>
      <c r="N57" s="1365" t="str">
        <f>IF(AND(LEN(F57)=1,OR(UPPER(F57)="N",UPPER(F57)="S")),UPPER(F57),"")</f>
        <v/>
      </c>
    </row>
    <row r="58" spans="1:14" s="781" customFormat="1" ht="4.3499999999999996" customHeight="1" x14ac:dyDescent="0.15">
      <c r="A58" s="805"/>
      <c r="B58" s="805"/>
      <c r="C58" s="1136"/>
      <c r="D58" s="1386"/>
      <c r="E58" s="796"/>
      <c r="F58" s="802"/>
      <c r="G58" s="803"/>
    </row>
    <row r="59" spans="1:14" s="781" customFormat="1" ht="30" customHeight="1" x14ac:dyDescent="0.15">
      <c r="A59" s="805" t="s">
        <v>1198</v>
      </c>
      <c r="B59" s="841" t="s">
        <v>653</v>
      </c>
      <c r="C59" s="1136"/>
      <c r="D59" s="806" t="s">
        <v>1199</v>
      </c>
      <c r="F59" s="1128"/>
      <c r="G59" s="1385" t="str">
        <f>IF(AND(ISBLANK(F59),C59="x",$N$8&gt;0),"Attenzione: domanda a risposta obbligatoria",IF(ISBLANK(F59),"",IF(AND(LEN(F59)=1,OR(UPPER(F59)="N",UPPER(F59)="S")),"",IF(ISBLANK(F59),"","  Errore ! Inserire S o N"))))</f>
        <v/>
      </c>
      <c r="K59" s="782" t="str">
        <f>LEFT(A59,3)</f>
        <v>PRD</v>
      </c>
      <c r="L59" s="782" t="str">
        <f>RIGHT(A59,3)</f>
        <v>542</v>
      </c>
      <c r="M59" s="782" t="str">
        <f>B59</f>
        <v>FLAG</v>
      </c>
      <c r="N59" s="1365" t="str">
        <f>IF(AND(LEN(F59)=1,OR(UPPER(F59)="N",UPPER(F59)="S")),UPPER(F59),"")</f>
        <v/>
      </c>
    </row>
    <row r="60" spans="1:14" s="781" customFormat="1" ht="4.3499999999999996" customHeight="1" x14ac:dyDescent="0.15">
      <c r="A60" s="805"/>
      <c r="B60" s="805"/>
      <c r="C60" s="1136"/>
      <c r="D60" s="1387"/>
      <c r="E60" s="796"/>
      <c r="F60" s="802"/>
      <c r="G60" s="803"/>
    </row>
    <row r="61" spans="1:14" s="781" customFormat="1" ht="35.1" customHeight="1" x14ac:dyDescent="0.15">
      <c r="A61" s="1121" t="s">
        <v>1028</v>
      </c>
      <c r="B61" s="1121"/>
      <c r="C61" s="1126"/>
      <c r="D61" s="1122" t="s">
        <v>1029</v>
      </c>
      <c r="E61" s="1121"/>
      <c r="F61" s="1123"/>
      <c r="G61" s="788" t="str">
        <f>IF(AND(LEN(F61)=1,OR(UPPER(F61)="N",UPPER(F61)="S")),"",IF(ISBLANK(F61),"","  Errore ! Inserire S o N"))</f>
        <v/>
      </c>
    </row>
    <row r="62" spans="1:14" s="781" customFormat="1" ht="4.3499999999999996" customHeight="1" x14ac:dyDescent="0.15">
      <c r="A62" s="1155"/>
      <c r="B62" s="1155"/>
      <c r="C62" s="1161"/>
      <c r="D62" s="1162"/>
      <c r="E62" s="796"/>
      <c r="F62" s="802"/>
      <c r="G62" s="803"/>
    </row>
    <row r="63" spans="1:14" s="781" customFormat="1" ht="30" customHeight="1" x14ac:dyDescent="0.15">
      <c r="A63" s="805" t="s">
        <v>1202</v>
      </c>
      <c r="B63" s="841" t="s">
        <v>656</v>
      </c>
      <c r="C63" s="1136"/>
      <c r="D63" s="806" t="s">
        <v>1203</v>
      </c>
      <c r="F63" s="1128"/>
      <c r="G63" s="788" t="str">
        <f>IF(AND(ISBLANK(F63),C63="x",$N$8&gt;0),"Attenzione: domanda a risposta obbligatoria",IF(ISBLANK(F63),"",IF(ISNUMBER(F63),IF(F63-INT(F63)=0,"","  Errore ! Inserire un numero intero senza decimali"),"  Errore ! Inserire un numero intero senza decimali")))</f>
        <v/>
      </c>
      <c r="K63" s="782" t="str">
        <f>LEFT(A63,3)</f>
        <v>WLF</v>
      </c>
      <c r="L63" s="782" t="str">
        <f>RIGHT(A63,3)</f>
        <v>540</v>
      </c>
      <c r="M63" s="782" t="str">
        <f>B63</f>
        <v>INT</v>
      </c>
      <c r="N63" s="782" t="str">
        <f>IF(ISNUMBER(F63),ROUND(F63,0),"")</f>
        <v/>
      </c>
    </row>
    <row r="64" spans="1:14" s="781" customFormat="1" ht="4.3499999999999996" customHeight="1" x14ac:dyDescent="0.15">
      <c r="A64" s="805"/>
      <c r="B64" s="805"/>
      <c r="C64" s="1136"/>
      <c r="D64" s="852"/>
      <c r="E64" s="796"/>
      <c r="F64" s="802"/>
      <c r="G64" s="803"/>
    </row>
    <row r="65" spans="1:14" s="781" customFormat="1" ht="30" customHeight="1" x14ac:dyDescent="0.15">
      <c r="A65" s="805" t="s">
        <v>1032</v>
      </c>
      <c r="B65" s="841" t="s">
        <v>656</v>
      </c>
      <c r="C65" s="1136"/>
      <c r="D65" s="806" t="s">
        <v>1037</v>
      </c>
      <c r="F65" s="1128"/>
      <c r="G65" s="788" t="str">
        <f>IF(AND(ISBLANK(F65),C65="x",$N$8&gt;0),"Attenzione: domanda a risposta obbligatoria",IF(ISBLANK(F65),"",IF(ISNUMBER(F65),IF(F65-INT(F65)=0,"","  Errore ! Inserire un numero intero senza decimali"),"  Errore ! Inserire un numero intero senza decimali")))</f>
        <v/>
      </c>
      <c r="K65" s="782" t="str">
        <f>LEFT(A65,3)</f>
        <v>WLF</v>
      </c>
      <c r="L65" s="782" t="str">
        <f>RIGHT(A65,3)</f>
        <v>467</v>
      </c>
      <c r="M65" s="782" t="str">
        <f>B65</f>
        <v>INT</v>
      </c>
      <c r="N65" s="782" t="str">
        <f>IF(ISNUMBER(F65),ROUND(F65,0),"")</f>
        <v/>
      </c>
    </row>
    <row r="66" spans="1:14" s="781" customFormat="1" ht="4.3499999999999996" customHeight="1" x14ac:dyDescent="0.15">
      <c r="A66" s="805"/>
      <c r="B66" s="805"/>
      <c r="C66" s="1136"/>
      <c r="D66" s="852"/>
      <c r="E66" s="796"/>
      <c r="F66" s="802"/>
      <c r="G66" s="803"/>
    </row>
    <row r="67" spans="1:14" s="781" customFormat="1" ht="30" customHeight="1" x14ac:dyDescent="0.15">
      <c r="A67" s="805" t="s">
        <v>1033</v>
      </c>
      <c r="B67" s="841" t="s">
        <v>656</v>
      </c>
      <c r="C67" s="1136"/>
      <c r="D67" s="806" t="s">
        <v>1038</v>
      </c>
      <c r="F67" s="1128"/>
      <c r="G67" s="788" t="str">
        <f>IF(AND(ISBLANK(F67),C67="x",$N$8&gt;0),"Attenzione: domanda a risposta obbligatoria",IF(ISBLANK(F67),"",IF(ISNUMBER(F67),IF(F67-INT(F67)=0,"","  Errore ! Inserire un numero intero senza decimali"),"  Errore ! Inserire un numero intero senza decimali")))</f>
        <v/>
      </c>
      <c r="K67" s="782" t="str">
        <f>LEFT(A67,3)</f>
        <v>WLF</v>
      </c>
      <c r="L67" s="782" t="str">
        <f>RIGHT(A67,3)</f>
        <v>468</v>
      </c>
      <c r="M67" s="782" t="str">
        <f>B67</f>
        <v>INT</v>
      </c>
      <c r="N67" s="782" t="str">
        <f>IF(ISNUMBER(F67),ROUND(F67,0),"")</f>
        <v/>
      </c>
    </row>
    <row r="68" spans="1:14" s="781" customFormat="1" ht="4.3499999999999996" customHeight="1" x14ac:dyDescent="0.15">
      <c r="A68" s="805"/>
      <c r="B68" s="805"/>
      <c r="C68" s="1136"/>
      <c r="D68" s="852"/>
      <c r="E68" s="796"/>
      <c r="F68" s="802"/>
      <c r="G68" s="803"/>
    </row>
    <row r="69" spans="1:14" s="781" customFormat="1" ht="30" customHeight="1" x14ac:dyDescent="0.15">
      <c r="A69" s="805" t="s">
        <v>1034</v>
      </c>
      <c r="B69" s="841" t="s">
        <v>656</v>
      </c>
      <c r="C69" s="1136"/>
      <c r="D69" s="806" t="s">
        <v>1039</v>
      </c>
      <c r="F69" s="1128"/>
      <c r="G69" s="788" t="str">
        <f>IF(AND(ISBLANK(F69),C69="x",$N$8&gt;0),"Attenzione: domanda a risposta obbligatoria",IF(ISBLANK(F69),"",IF(ISNUMBER(F69),IF(F69-INT(F69)=0,"","  Errore ! Inserire un numero intero senza decimali"),"  Errore ! Inserire un numero intero senza decimali")))</f>
        <v/>
      </c>
      <c r="K69" s="782" t="str">
        <f>LEFT(A69,3)</f>
        <v>WLF</v>
      </c>
      <c r="L69" s="782" t="str">
        <f>RIGHT(A69,3)</f>
        <v>469</v>
      </c>
      <c r="M69" s="782" t="str">
        <f>B69</f>
        <v>INT</v>
      </c>
      <c r="N69" s="782" t="str">
        <f>IF(ISNUMBER(F69),ROUND(F69,0),"")</f>
        <v/>
      </c>
    </row>
    <row r="70" spans="1:14" s="781" customFormat="1" ht="4.3499999999999996" customHeight="1" x14ac:dyDescent="0.15">
      <c r="A70" s="805"/>
      <c r="B70" s="805"/>
      <c r="C70" s="1136"/>
      <c r="D70" s="852"/>
      <c r="E70" s="796"/>
      <c r="F70" s="802"/>
      <c r="G70" s="803"/>
    </row>
    <row r="71" spans="1:14" s="781" customFormat="1" ht="30" customHeight="1" x14ac:dyDescent="0.15">
      <c r="A71" s="805" t="s">
        <v>1192</v>
      </c>
      <c r="B71" s="841" t="s">
        <v>656</v>
      </c>
      <c r="C71" s="1136"/>
      <c r="D71" s="806" t="s">
        <v>1193</v>
      </c>
      <c r="F71" s="1128"/>
      <c r="G71" s="788" t="str">
        <f>IF(AND(ISBLANK(F71),C71="x",$N$8&gt;0),"Attenzione: domanda a risposta obbligatoria",IF(ISBLANK(F71),"",IF(ISNUMBER(F71),IF(F71-INT(F71)=0,"","  Errore ! Inserire un numero intero senza decimali"),"  Errore ! Inserire un numero intero senza decimali")))</f>
        <v/>
      </c>
      <c r="K71" s="782" t="str">
        <f>LEFT(A71,3)</f>
        <v>WLF</v>
      </c>
      <c r="L71" s="782" t="str">
        <f>RIGHT(A71,3)</f>
        <v>520</v>
      </c>
      <c r="M71" s="782" t="str">
        <f>B71</f>
        <v>INT</v>
      </c>
      <c r="N71" s="782" t="str">
        <f>IF(ISNUMBER(F71),ROUND(F71,0),"")</f>
        <v/>
      </c>
    </row>
    <row r="72" spans="1:14" s="781" customFormat="1" ht="4.3499999999999996" customHeight="1" x14ac:dyDescent="0.15">
      <c r="A72" s="805"/>
      <c r="B72" s="805"/>
      <c r="C72" s="1136"/>
      <c r="D72" s="852"/>
      <c r="E72" s="796"/>
      <c r="F72" s="802"/>
      <c r="G72" s="803"/>
    </row>
    <row r="73" spans="1:14" s="781" customFormat="1" ht="30" customHeight="1" x14ac:dyDescent="0.15">
      <c r="A73" s="805" t="s">
        <v>1036</v>
      </c>
      <c r="B73" s="841" t="s">
        <v>656</v>
      </c>
      <c r="C73" s="1136"/>
      <c r="D73" s="806" t="s">
        <v>1041</v>
      </c>
      <c r="F73" s="1128"/>
      <c r="G73" s="788" t="str">
        <f>IF(AND(ISBLANK(F73),C73="x",$N$8&gt;0),"Attenzione: domanda a risposta obbligatoria",IF(ISBLANK(F73),"",IF(ISNUMBER(F73),IF(F73-INT(F73)=0,"","  Errore ! Inserire un numero intero senza decimali"),"  Errore ! Inserire un numero intero senza decimali")))</f>
        <v/>
      </c>
      <c r="K73" s="782" t="str">
        <f>LEFT(A73,3)</f>
        <v>WLF</v>
      </c>
      <c r="L73" s="782" t="str">
        <f>RIGHT(A73,3)</f>
        <v>471</v>
      </c>
      <c r="M73" s="782" t="str">
        <f>B73</f>
        <v>INT</v>
      </c>
      <c r="N73" s="782" t="str">
        <f>IF(ISNUMBER(F73),ROUND(F73,0),"")</f>
        <v/>
      </c>
    </row>
    <row r="74" spans="1:14" s="781" customFormat="1" ht="4.3499999999999996" customHeight="1" x14ac:dyDescent="0.15">
      <c r="A74" s="805"/>
      <c r="B74" s="805"/>
      <c r="D74" s="852"/>
      <c r="E74" s="796"/>
      <c r="F74" s="802"/>
      <c r="G74" s="803"/>
    </row>
    <row r="75" spans="1:14" s="781" customFormat="1" ht="30" customHeight="1" x14ac:dyDescent="0.15">
      <c r="A75" s="805" t="s">
        <v>1194</v>
      </c>
      <c r="B75" s="841" t="s">
        <v>656</v>
      </c>
      <c r="D75" s="806" t="s">
        <v>1195</v>
      </c>
      <c r="E75" s="796"/>
      <c r="F75" s="1128"/>
      <c r="G75" s="788" t="str">
        <f>IF(AND(ISBLANK(F75),C75="x",$N$8&gt;0),"Attenzione: domanda a risposta obbligatoria",IF(ISBLANK(F75),"",IF(ISNUMBER(F75),IF(F75-INT(F75)=0,"","  Errore ! Inserire un numero intero senza decimali"),"  Errore ! Inserire un numero intero senza decimali")))</f>
        <v/>
      </c>
      <c r="K75" s="782" t="str">
        <f>LEFT(A75,3)</f>
        <v>WLF</v>
      </c>
      <c r="L75" s="782" t="str">
        <f>RIGHT(A75,3)</f>
        <v>521</v>
      </c>
      <c r="M75" s="782" t="str">
        <f>B75</f>
        <v>INT</v>
      </c>
      <c r="N75" s="782" t="str">
        <f>IF(ISNUMBER(F75),ROUND(F75,0),"")</f>
        <v/>
      </c>
    </row>
    <row r="76" spans="1:14" s="781" customFormat="1" ht="4.3499999999999996" customHeight="1" x14ac:dyDescent="0.15">
      <c r="A76" s="805"/>
      <c r="B76" s="805"/>
      <c r="D76" s="852"/>
      <c r="E76" s="796"/>
      <c r="F76" s="802"/>
      <c r="G76" s="803"/>
    </row>
    <row r="77" spans="1:14" s="781" customFormat="1" ht="30" customHeight="1" x14ac:dyDescent="0.15">
      <c r="A77" s="1121" t="s">
        <v>678</v>
      </c>
      <c r="B77" s="1121"/>
      <c r="C77" s="1122"/>
      <c r="D77" s="1122" t="s">
        <v>679</v>
      </c>
      <c r="E77" s="1144"/>
      <c r="F77" s="1145"/>
      <c r="G77" s="812"/>
      <c r="I77" s="1140"/>
      <c r="J77" s="810"/>
    </row>
    <row r="78" spans="1:14" s="781" customFormat="1" ht="4.3499999999999996" customHeight="1" x14ac:dyDescent="0.15">
      <c r="A78" s="811"/>
      <c r="B78" s="811"/>
      <c r="D78" s="796"/>
      <c r="E78" s="796"/>
      <c r="F78" s="797"/>
      <c r="G78" s="812"/>
      <c r="I78" s="1140"/>
      <c r="J78" s="810"/>
    </row>
    <row r="79" spans="1:14" s="781" customFormat="1" x14ac:dyDescent="0.15">
      <c r="A79" s="799" t="s">
        <v>680</v>
      </c>
      <c r="B79" s="800" t="s">
        <v>391</v>
      </c>
      <c r="D79" s="795" t="s">
        <v>681</v>
      </c>
      <c r="F79" s="797"/>
      <c r="G79" s="813"/>
      <c r="K79" s="782" t="str">
        <f>LEFT(A79,3)</f>
        <v>INF</v>
      </c>
      <c r="L79" s="782" t="str">
        <f>RIGHT(A79,3)</f>
        <v>209</v>
      </c>
      <c r="M79" s="782" t="str">
        <f>B79</f>
        <v>NOTE</v>
      </c>
      <c r="N79" s="781" t="str">
        <f>IF(ISBLANK(D80),"",LEFT(D80,1500))</f>
        <v/>
      </c>
    </row>
    <row r="80" spans="1:14" s="781" customFormat="1" ht="45" customHeight="1" x14ac:dyDescent="0.15">
      <c r="A80" s="1146"/>
      <c r="B80" s="1146"/>
      <c r="D80" s="1558"/>
      <c r="E80" s="1559"/>
      <c r="F80" s="1560"/>
      <c r="G80" s="788" t="str">
        <f>IF(LEN(D80)&gt;1500,"Attenzione, è stato superato il numero massimo di 1500 caratteri","")</f>
        <v/>
      </c>
      <c r="I80" s="1140"/>
    </row>
    <row r="81" spans="1:14" s="781" customFormat="1" x14ac:dyDescent="0.15">
      <c r="A81" s="814"/>
      <c r="B81" s="814"/>
      <c r="D81" s="796"/>
      <c r="E81" s="796"/>
      <c r="F81" s="815"/>
      <c r="G81" s="812"/>
      <c r="I81" s="1140"/>
      <c r="J81" s="816"/>
    </row>
    <row r="82" spans="1:14" s="781" customFormat="1" x14ac:dyDescent="0.15">
      <c r="A82" s="799" t="s">
        <v>682</v>
      </c>
      <c r="B82" s="800" t="s">
        <v>391</v>
      </c>
      <c r="D82" s="795" t="s">
        <v>683</v>
      </c>
      <c r="F82" s="797"/>
      <c r="G82" s="813"/>
      <c r="K82" s="782" t="str">
        <f>LEFT(A82,3)</f>
        <v>INF</v>
      </c>
      <c r="L82" s="782" t="str">
        <f>RIGHT(A82,3)</f>
        <v>127</v>
      </c>
      <c r="M82" s="782" t="str">
        <f>B82</f>
        <v>NOTE</v>
      </c>
      <c r="N82" s="781" t="str">
        <f>IF(ISBLANK(D83),"",LEFT(D83,1500))</f>
        <v/>
      </c>
    </row>
    <row r="83" spans="1:14" s="781" customFormat="1" ht="45" customHeight="1" x14ac:dyDescent="0.15">
      <c r="A83" s="1146"/>
      <c r="B83" s="1146"/>
      <c r="D83" s="1558"/>
      <c r="E83" s="1559"/>
      <c r="F83" s="1560"/>
      <c r="G83" s="788" t="str">
        <f>IF(LEN(D83)&gt;1500,"Attenzione, è stato superato il numero massimo di 1500 caratteri","")</f>
        <v/>
      </c>
      <c r="I83" s="1140"/>
      <c r="K83" s="789" t="s">
        <v>531</v>
      </c>
    </row>
    <row r="84" spans="1:14" s="854" customFormat="1" x14ac:dyDescent="0.2">
      <c r="A84" s="853"/>
      <c r="B84" s="853"/>
      <c r="F84" s="855"/>
      <c r="G84" s="856"/>
    </row>
  </sheetData>
  <sheetProtection algorithmName="SHA-512" hashValue="Bdkzv4pbgKvjUHwa9l5dzD/zZDoda87jKGNgGb24LUxH/Nf5xdIcGg5jbUQ9vCejROwec5xLtTM6TMoZZ6h2+w==" saltValue="kZUfFp6q9JK15CsXk4F2eQ==" spinCount="100000" sheet="1" formatColumns="0" selectLockedCells="1"/>
  <dataConsolidate/>
  <mergeCells count="4">
    <mergeCell ref="D83:F83"/>
    <mergeCell ref="G2:G3"/>
    <mergeCell ref="G5:G6"/>
    <mergeCell ref="D80:F80"/>
  </mergeCells>
  <dataValidations count="4">
    <dataValidation type="whole" operator="lessThan" allowBlank="1" showInputMessage="1" showErrorMessage="1" errorTitle="Errore di digitazione" error="Inserire solo numeri interi o lasciare vuoto." sqref="F43 F49 F33 F41 F35 F37 F39 F47 F29 F31 F19 F25 F23 F53 F55 F63 IS63 SO63 ACK63 AMG63 AWC63 BFY63 BPU63 BZQ63 CJM63 CTI63 DDE63 DNA63 DWW63 EGS63 EQO63 FAK63 FKG63 FUC63 GDY63 GNU63 GXQ63 HHM63 HRI63 IBE63 ILA63 IUW63 JES63 JOO63 JYK63 KIG63 KSC63 LBY63 LLU63 LVQ63 MFM63 MPI63 MZE63 NJA63 NSW63 OCS63 OMO63 OWK63 PGG63 PQC63 PZY63 QJU63 QTQ63 RDM63 RNI63 RXE63 SHA63 SQW63 TAS63 TKO63 TUK63 UEG63 UOC63 UXY63 VHU63 VRQ63 WBM63 WLI63 WVE63 F65 IS65 SO65 ACK65 AMG65 AWC65 BFY65 BPU65 BZQ65 CJM65 CTI65 DDE65 DNA65 DWW65 EGS65 EQO65 FAK65 FKG65 FUC65 GDY65 GNU65 GXQ65 HHM65 HRI65 IBE65 ILA65 IUW65 JES65 JOO65 JYK65 KIG65 KSC65 LBY65 LLU65 LVQ65 MFM65 MPI65 MZE65 NJA65 NSW65 OCS65 OMO65 OWK65 PGG65 PQC65 PZY65 QJU65 QTQ65 RDM65 RNI65 RXE65 SHA65 SQW65 TAS65 TKO65 TUK65 UEG65 UOC65 UXY65 VHU65 VRQ65 WBM65 WLI65 WVE65 F67 IS67 SO67 ACK67 AMG67 AWC67 BFY67 BPU67 BZQ67 CJM67 CTI67 DDE67 DNA67 DWW67 EGS67 EQO67 FAK67 FKG67 FUC67 GDY67 GNU67 GXQ67 HHM67 HRI67 IBE67 ILA67 IUW67 JES67 JOO67 JYK67 KIG67 KSC67 LBY67 LLU67 LVQ67 MFM67 MPI67 MZE67 NJA67 NSW67 OCS67 OMO67 OWK67 PGG67 PQC67 PZY67 QJU67 QTQ67 RDM67 RNI67 RXE67 SHA67 SQW67 TAS67 TKO67 TUK67 UEG67 UOC67 UXY67 VHU67 VRQ67 WBM67 WLI67 WVE67 F69 IS69 SO69 ACK69 AMG69 AWC69 BFY69 BPU69 BZQ69 CJM69 CTI69 DDE69 DNA69 DWW69 EGS69 EQO69 FAK69 FKG69 FUC69 GDY69 GNU69 GXQ69 HHM69 HRI69 IBE69 ILA69 IUW69 JES69 JOO69 JYK69 KIG69 KSC69 LBY69 LLU69 LVQ69 MFM69 MPI69 MZE69 NJA69 NSW69 OCS69 OMO69 OWK69 PGG69 PQC69 PZY69 QJU69 QTQ69 RDM69 RNI69 RXE69 SHA69 SQW69 TAS69 TKO69 TUK69 UEG69 UOC69 UXY69 VHU69 VRQ69 WBM69 WLI69 WVE69 F71 IS71 SO71 ACK71 AMG71 AWC71 BFY71 BPU71 BZQ71 CJM71 CTI71 DDE71 DNA71 DWW71 EGS71 EQO71 FAK71 FKG71 FUC71 GDY71 GNU71 GXQ71 HHM71 HRI71 IBE71 ILA71 IUW71 JES71 JOO71 JYK71 KIG71 KSC71 LBY71 LLU71 LVQ71 MFM71 MPI71 MZE71 NJA71 NSW71 OCS71 OMO71 OWK71 PGG71 PQC71 PZY71 QJU71 QTQ71 RDM71 RNI71 RXE71 SHA71 SQW71 TAS71 TKO71 TUK71 UEG71 UOC71 UXY71 VHU71 VRQ71 WBM71 WLI71 WVE71 F73 IS73 SO73 ACK73 AMG73 AWC73 BFY73 BPU73 BZQ73 CJM73 CTI73 DDE73 DNA73 DWW73 EGS73 EQO73 FAK73 FKG73 FUC73 GDY73 GNU73 GXQ73 HHM73 HRI73 IBE73 ILA73 IUW73 JES73 JOO73 JYK73 KIG73 KSC73 LBY73 LLU73 LVQ73 MFM73 MPI73 MZE73 NJA73 NSW73 OCS73 OMO73 OWK73 PGG73 PQC73 PZY73 QJU73 QTQ73 RDM73 RNI73 RXE73 SHA73 SQW73 TAS73 TKO73 TUK73 UEG73 UOC73 UXY73 VHU73 VRQ73 WBM73 WLI73 WVE73 F75" xr:uid="{2755FEC6-28B5-453F-BFF6-5D8761D26711}">
      <formula1>100000000000000</formula1>
    </dataValidation>
    <dataValidation type="list" allowBlank="1" showDropDown="1" showInputMessage="1" showErrorMessage="1" errorTitle="Errore di digitazione" error="Digitare 'S' o 'N' o lasciare in bianco" sqref="F51 F57 F59" xr:uid="{215D56F9-FA19-4E2C-96BA-942124434AD1}">
      <formula1>"s,n,S,N"</formula1>
    </dataValidation>
    <dataValidation type="textLength" allowBlank="1" showInputMessage="1" showErrorMessage="1" error="Inserire massimo 1500 caratteri" sqref="D83:F83 D80:F80" xr:uid="{847C9AB1-70BC-4237-9DF9-708C2E41DDAF}">
      <formula1>0</formula1>
      <formula2>1500</formula2>
    </dataValidation>
    <dataValidation type="date" allowBlank="1" showInputMessage="1" showErrorMessage="1" errorTitle="Errore di digitazione" error="Digitare una data non anteriore al 1 Gennaio dell'anno precedente alla di rilevazione (gg/mm/aaaa)" sqref="F15 F13 F17" xr:uid="{3F94D90C-71D0-420F-9624-7E4CF96DC57D}">
      <formula1>44562</formula1>
      <formula2>TODAY()</formula2>
    </dataValidation>
  </dataValidations>
  <printOptions horizontalCentered="1"/>
  <pageMargins left="0.39370078740157483" right="0.39370078740157483" top="0.78740157480314965" bottom="0.39370078740157483" header="0.31496062992125984" footer="0.31496062992125984"/>
  <pageSetup paperSize="9" scale="53"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N112"/>
  <sheetViews>
    <sheetView showGridLines="0" zoomScale="80" zoomScaleNormal="80" workbookViewId="0">
      <selection activeCell="F13" sqref="F13"/>
    </sheetView>
  </sheetViews>
  <sheetFormatPr defaultColWidth="12.6640625" defaultRowHeight="15" x14ac:dyDescent="0.2"/>
  <cols>
    <col min="1" max="1" width="10.6640625" style="817" customWidth="1"/>
    <col min="2" max="2" width="8.6640625" style="817" customWidth="1"/>
    <col min="3" max="3" width="2.6640625" style="794" customWidth="1"/>
    <col min="4" max="4" width="180.6640625" style="794" customWidth="1"/>
    <col min="5" max="5" width="2.6640625" style="794" customWidth="1"/>
    <col min="6" max="6" width="20.6640625" style="818" customWidth="1"/>
    <col min="7" max="7" width="50.6640625" style="793" customWidth="1"/>
    <col min="8" max="10" width="12.6640625" style="794" customWidth="1"/>
    <col min="11" max="13" width="12.6640625" style="794" hidden="1" customWidth="1"/>
    <col min="14" max="14" width="15.6640625" style="794" hidden="1" customWidth="1"/>
    <col min="15" max="16384" width="12.6640625" style="794"/>
  </cols>
  <sheetData>
    <row r="1" spans="1:14" s="1096" customFormat="1" ht="35.1" customHeight="1" thickBot="1" x14ac:dyDescent="0.2">
      <c r="A1" s="1092"/>
      <c r="B1" s="1092"/>
      <c r="C1" s="1093"/>
      <c r="D1" s="1093"/>
      <c r="E1" s="1094"/>
      <c r="F1" s="1094"/>
      <c r="G1" s="907" t="s">
        <v>852</v>
      </c>
      <c r="H1" s="1147" t="s">
        <v>267</v>
      </c>
    </row>
    <row r="2" spans="1:14" s="1096" customFormat="1" ht="35.1" customHeight="1" x14ac:dyDescent="0.35">
      <c r="A2" s="1097" t="s">
        <v>643</v>
      </c>
      <c r="B2" s="1097"/>
      <c r="C2" s="1098"/>
      <c r="D2" s="1098"/>
      <c r="E2" s="1098"/>
      <c r="F2" s="1099"/>
      <c r="G2" s="1549" t="str">
        <f>IF(AND(ISBLANK($F$27),SUM('t15(5)'!$W:$W)+SUM('t15(5)'!$R:$R)&gt;0),"Attenzione: è necessario compilare la domanda LEG428 !!!","OK")</f>
        <v>OK</v>
      </c>
    </row>
    <row r="3" spans="1:14" s="1103" customFormat="1" ht="35.1" customHeight="1" thickBot="1" x14ac:dyDescent="0.4">
      <c r="A3" s="1097" t="s">
        <v>644</v>
      </c>
      <c r="B3" s="1097"/>
      <c r="C3" s="1100"/>
      <c r="D3" s="1100"/>
      <c r="E3" s="1101"/>
      <c r="F3" s="1102"/>
      <c r="G3" s="1553"/>
      <c r="K3" s="1104"/>
    </row>
    <row r="4" spans="1:14" s="1096" customFormat="1" ht="35.1" customHeight="1" thickBot="1" x14ac:dyDescent="0.2">
      <c r="A4" s="1105"/>
      <c r="B4" s="1106"/>
      <c r="C4" s="1107"/>
      <c r="D4" s="1107"/>
      <c r="E4" s="1108"/>
      <c r="F4" s="1109"/>
      <c r="G4" s="1110" t="s">
        <v>645</v>
      </c>
      <c r="K4" s="1104"/>
    </row>
    <row r="5" spans="1:14" s="1111" customFormat="1" ht="35.1" customHeight="1" x14ac:dyDescent="0.15">
      <c r="G5" s="1561" t="str">
        <f>IF(AND(ISBLANK(F13),ISBLANK(F17)),"OK",IF(AND(OR(ISBLANK(F13),YEAR(F13)&gt;'t1'!L1-1),OR(ISBLANK(F17),YEAR(F17)&gt;'t1'!L1-1)),"OK","Attenzione: almeno una data di certificazione è antececedente l'anno "&amp;'t1'!L1&amp;", è necessario giustificare"))</f>
        <v>OK</v>
      </c>
    </row>
    <row r="6" spans="1:14" s="1111" customFormat="1" ht="35.1" customHeight="1" thickBot="1" x14ac:dyDescent="0.2">
      <c r="A6" s="1112" t="str">
        <f>'t1'!$A$1</f>
        <v>ENTI PUBBLICI NON ECONOMICI - anno 2024</v>
      </c>
      <c r="B6" s="1112"/>
      <c r="C6" s="1113"/>
      <c r="D6" s="1114"/>
      <c r="E6" s="1113"/>
      <c r="F6" s="1113"/>
      <c r="G6" s="1562"/>
    </row>
    <row r="7" spans="1:14" s="1111" customFormat="1" ht="35.1" customHeight="1" x14ac:dyDescent="0.15">
      <c r="A7" s="1115"/>
      <c r="B7" s="1115"/>
      <c r="D7" s="1116" t="s">
        <v>700</v>
      </c>
      <c r="N7" s="792" t="s">
        <v>647</v>
      </c>
    </row>
    <row r="8" spans="1:14" s="1111" customFormat="1" ht="15" customHeight="1" x14ac:dyDescent="0.15">
      <c r="A8" s="1115"/>
      <c r="B8" s="1115"/>
      <c r="D8" s="1117"/>
      <c r="N8" s="1118">
        <f>(COUNTIF(F:F,"&lt;&gt;"&amp;"")+COUNTIF(D109,"&lt;&gt;"&amp;"")+COUNTIF(D112,"&lt;&gt;"&amp;""))</f>
        <v>0</v>
      </c>
    </row>
    <row r="9" spans="1:14" s="1111" customFormat="1" ht="10.35" customHeight="1" x14ac:dyDescent="0.15">
      <c r="A9" s="1115"/>
      <c r="B9" s="1115"/>
      <c r="D9" s="1117"/>
      <c r="N9" s="792"/>
    </row>
    <row r="10" spans="1:14" ht="10.35" customHeight="1" x14ac:dyDescent="0.2">
      <c r="A10" s="1152"/>
      <c r="B10" s="1152"/>
      <c r="D10" s="1153"/>
      <c r="E10" s="1152"/>
      <c r="F10" s="802"/>
    </row>
    <row r="11" spans="1:14" s="781" customFormat="1" ht="35.1" customHeight="1" x14ac:dyDescent="0.15">
      <c r="A11" s="1121" t="s">
        <v>648</v>
      </c>
      <c r="B11" s="1121"/>
      <c r="C11" s="1122"/>
      <c r="D11" s="1122" t="s">
        <v>649</v>
      </c>
      <c r="E11" s="1121"/>
      <c r="F11" s="1123"/>
      <c r="G11" s="795"/>
      <c r="K11" s="792" t="s">
        <v>650</v>
      </c>
      <c r="L11" s="792" t="s">
        <v>651</v>
      </c>
      <c r="M11" s="792" t="s">
        <v>652</v>
      </c>
      <c r="N11" s="792" t="s">
        <v>639</v>
      </c>
    </row>
    <row r="12" spans="1:14" s="781" customFormat="1" ht="4.3499999999999996" customHeight="1" x14ac:dyDescent="0.15">
      <c r="A12" s="796"/>
      <c r="B12" s="796"/>
      <c r="D12" s="796"/>
      <c r="E12" s="796"/>
      <c r="F12" s="797"/>
      <c r="G12" s="795"/>
      <c r="K12" s="798"/>
      <c r="L12" s="798"/>
      <c r="M12" s="798"/>
      <c r="N12" s="798"/>
    </row>
    <row r="13" spans="1:14" s="781" customFormat="1" ht="30" customHeight="1" x14ac:dyDescent="0.15">
      <c r="A13" s="828" t="s">
        <v>720</v>
      </c>
      <c r="B13" s="830" t="s">
        <v>654</v>
      </c>
      <c r="C13" s="877"/>
      <c r="D13" s="806" t="s">
        <v>883</v>
      </c>
      <c r="E13" s="831"/>
      <c r="F13" s="778"/>
      <c r="G13" s="1124" t="str">
        <f ca="1">IF(AND(ISBLANK(F13),C13="x",$N$8&gt;0),"Attenzione: domanda a risposta obbligatoria",IF(ISBLANK(F13),"",IF(AND(F13&gt;=DATE('t1'!$L$1-2,1,1),F13&lt;=TODAY()),"","Digitare una data non anteriore al 1 Gennaio "&amp;'t1'!$L$1-1&amp;" (gg/mm/aaaa)")))</f>
        <v/>
      </c>
      <c r="K13" s="782" t="str">
        <f>LEFT(A13,3)</f>
        <v>GEN</v>
      </c>
      <c r="L13" s="782" t="str">
        <f>RIGHT(A13,3)</f>
        <v>353</v>
      </c>
      <c r="M13" s="782" t="str">
        <f>B13</f>
        <v>DATE</v>
      </c>
      <c r="N13" s="1125" t="str">
        <f ca="1">IF(AND(F13&gt;=DATE('t1'!$L$1-1,1,1),F13&lt;=TODAY()),"'"&amp;DAY(F13)&amp;"/"&amp;MONTH(F13)&amp;"/"&amp;YEAR(F13),"")</f>
        <v/>
      </c>
    </row>
    <row r="14" spans="1:14" s="781" customFormat="1" ht="4.3499999999999996" customHeight="1" x14ac:dyDescent="0.15">
      <c r="A14" s="773"/>
      <c r="B14" s="773"/>
      <c r="C14" s="877"/>
      <c r="D14" s="852"/>
      <c r="E14" s="770"/>
      <c r="F14" s="776"/>
      <c r="G14" s="777"/>
    </row>
    <row r="15" spans="1:14" s="781" customFormat="1" ht="30" customHeight="1" x14ac:dyDescent="0.15">
      <c r="A15" s="828" t="s">
        <v>721</v>
      </c>
      <c r="B15" s="830" t="s">
        <v>654</v>
      </c>
      <c r="C15" s="877"/>
      <c r="D15" s="806" t="s">
        <v>884</v>
      </c>
      <c r="E15" s="831"/>
      <c r="F15" s="778"/>
      <c r="G15" s="1124" t="str">
        <f ca="1">IF(AND(ISBLANK(F15),C15="x",$N$8&gt;0),"Attenzione: domanda a risposta obbligatoria",IF(ISBLANK(F15),"",IF(AND(F15&gt;=DATE('t1'!$L$1-2,1,1),F15&lt;=TODAY()),"","Digitare una data non anteriore al 1 Gennaio "&amp;'t1'!$L$1-1&amp;" (gg/mm/aaaa)")))</f>
        <v/>
      </c>
      <c r="K15" s="782" t="str">
        <f>LEFT(A15,3)</f>
        <v>GEN</v>
      </c>
      <c r="L15" s="782" t="str">
        <f>RIGHT(A15,3)</f>
        <v>354</v>
      </c>
      <c r="M15" s="782" t="str">
        <f>B15</f>
        <v>DATE</v>
      </c>
      <c r="N15" s="1125" t="str">
        <f ca="1">IF(AND(F15&gt;=DATE('t1'!$L$1-1,1,1),F15&lt;=TODAY()),"'"&amp;DAY(F15)&amp;"/"&amp;MONTH(F15)&amp;"/"&amp;YEAR(F15),"")</f>
        <v/>
      </c>
    </row>
    <row r="16" spans="1:14" s="781" customFormat="1" ht="4.3499999999999996" customHeight="1" x14ac:dyDescent="0.15">
      <c r="A16" s="773"/>
      <c r="B16" s="773"/>
      <c r="C16" s="877"/>
      <c r="D16" s="806"/>
      <c r="E16" s="770"/>
      <c r="F16" s="776"/>
      <c r="G16" s="777"/>
    </row>
    <row r="17" spans="1:14" s="781" customFormat="1" ht="30" customHeight="1" x14ac:dyDescent="0.15">
      <c r="A17" s="828" t="s">
        <v>722</v>
      </c>
      <c r="B17" s="830" t="s">
        <v>654</v>
      </c>
      <c r="C17" s="877"/>
      <c r="D17" s="806" t="s">
        <v>885</v>
      </c>
      <c r="E17" s="832"/>
      <c r="F17" s="778"/>
      <c r="G17" s="1124" t="str">
        <f ca="1">IF(AND(ISBLANK(F17),C17="x",$N$8&gt;0),"Attenzione: domanda a risposta obbligatoria",IF(ISBLANK(F17),"",IF(AND(F17&gt;=DATE('t1'!$L$1-2,1,1),F17&lt;=TODAY()),"","Digitare una data non anteriore al 1 Gennaio "&amp;'t1'!$L$1-1&amp;" (gg/mm/aaaa)")))</f>
        <v/>
      </c>
      <c r="K17" s="782" t="str">
        <f>LEFT(A17,3)</f>
        <v>GEN</v>
      </c>
      <c r="L17" s="782" t="str">
        <f>RIGHT(A17,3)</f>
        <v>355</v>
      </c>
      <c r="M17" s="782" t="str">
        <f>B17</f>
        <v>DATE</v>
      </c>
      <c r="N17" s="1125" t="str">
        <f ca="1">IF(AND(F17&gt;=DATE('t1'!$L$1-1,1,1),F17&lt;=TODAY()),"'"&amp;DAY(F17)&amp;"/"&amp;MONTH(F17)&amp;"/"&amp;YEAR(F17),"")</f>
        <v/>
      </c>
    </row>
    <row r="18" spans="1:14" s="781" customFormat="1" ht="4.3499999999999996" customHeight="1" x14ac:dyDescent="0.15">
      <c r="A18" s="773"/>
      <c r="B18" s="773"/>
      <c r="C18" s="877"/>
      <c r="D18" s="770"/>
      <c r="E18" s="770"/>
      <c r="F18" s="776"/>
      <c r="G18" s="777"/>
    </row>
    <row r="19" spans="1:14" s="781" customFormat="1" ht="30" customHeight="1" x14ac:dyDescent="0.15">
      <c r="A19" s="833" t="s">
        <v>655</v>
      </c>
      <c r="B19" s="834" t="s">
        <v>656</v>
      </c>
      <c r="C19" s="877" t="s">
        <v>910</v>
      </c>
      <c r="D19" s="829" t="s">
        <v>657</v>
      </c>
      <c r="E19" s="831"/>
      <c r="F19" s="835"/>
      <c r="G19" s="1124" t="str">
        <f>IF(AND(ISBLANK(F19),C19="x",$N$8&gt;0),"Attenzione: domanda a risposta obbligatoria",IF(AND(SUM(F13:F17)&gt;0,G5="ok",F19&gt;0),"Attenzione, dato incoerente",IF(ISBLANK(F19),"",IF(ISNUMBER(F19),IF(F19-INT(F19)=0,"","  Errore ! Inserire un numero intero senza decimali"),"  Errore ! Inserire un numero intero senza decimali"))))</f>
        <v/>
      </c>
      <c r="K19" s="782" t="str">
        <f>LEFT(A19,3)</f>
        <v>GEN</v>
      </c>
      <c r="L19" s="782" t="str">
        <f>RIGHT(A19,3)</f>
        <v>195</v>
      </c>
      <c r="M19" s="782" t="str">
        <f>B19</f>
        <v>INT</v>
      </c>
      <c r="N19" s="782" t="str">
        <f>IF(ISNUMBER(F19),ROUND(F19,0),"")</f>
        <v/>
      </c>
    </row>
    <row r="20" spans="1:14" s="781" customFormat="1" ht="4.1500000000000004" customHeight="1" x14ac:dyDescent="0.15">
      <c r="A20" s="804"/>
      <c r="B20" s="804"/>
      <c r="C20" s="877"/>
      <c r="D20" s="796"/>
      <c r="E20" s="796"/>
      <c r="F20" s="797"/>
      <c r="G20" s="1154"/>
    </row>
    <row r="21" spans="1:14" s="781" customFormat="1" ht="30" customHeight="1" x14ac:dyDescent="0.15">
      <c r="A21" s="805" t="s">
        <v>1009</v>
      </c>
      <c r="B21" s="841" t="s">
        <v>656</v>
      </c>
      <c r="C21" s="1156"/>
      <c r="D21" s="863" t="s">
        <v>1010</v>
      </c>
      <c r="E21" s="832"/>
      <c r="F21" s="1157"/>
      <c r="G21" s="788" t="str">
        <f>IF(AND(ISBLANK(F21),C21="x",$N$8&gt;0),"Attenzione: domanda a risposta obbligatoria",IF(ISBLANK(F21),"",IF(ISNUMBER(F21),IF(F21-INT(F21)=0,"","  Errore ! Inserire un numero intero senza decimali"),"  Errore ! Inserire un numero intero senza decimali")))</f>
        <v/>
      </c>
      <c r="K21" s="782" t="str">
        <f>LEFT(A21,3)</f>
        <v>GEN</v>
      </c>
      <c r="L21" s="782" t="str">
        <f>RIGHT(A21,3)</f>
        <v>474</v>
      </c>
      <c r="M21" s="782" t="str">
        <f>B21</f>
        <v>INT</v>
      </c>
      <c r="N21" s="782" t="str">
        <f>IF(ISNUMBER(F21),ROUND(F21,0),"")</f>
        <v/>
      </c>
    </row>
    <row r="22" spans="1:14" s="781" customFormat="1" ht="4.1500000000000004" customHeight="1" x14ac:dyDescent="0.15">
      <c r="A22" s="783"/>
      <c r="B22" s="783"/>
      <c r="C22" s="1158"/>
      <c r="D22" s="846"/>
      <c r="E22" s="770"/>
      <c r="F22" s="776"/>
      <c r="G22" s="777"/>
    </row>
    <row r="23" spans="1:14" s="781" customFormat="1" ht="30" customHeight="1" x14ac:dyDescent="0.15">
      <c r="A23" s="805" t="s">
        <v>1011</v>
      </c>
      <c r="B23" s="841" t="s">
        <v>656</v>
      </c>
      <c r="C23" s="1156"/>
      <c r="D23" s="863" t="s">
        <v>1012</v>
      </c>
      <c r="E23" s="832"/>
      <c r="F23" s="1157"/>
      <c r="G23" s="788" t="str">
        <f>IF(AND(ISBLANK(F23),C23="x",$N$8&gt;0),"Attenzione: domanda a risposta obbligatoria",IF(ISBLANK(F23),"",IF(ISNUMBER(F23),IF(F23-INT(F23)=0,"","  Errore ! Inserire un numero intero senza decimali"),"  Errore ! Inserire un numero intero senza decimali")))</f>
        <v/>
      </c>
      <c r="K23" s="782" t="str">
        <f>LEFT(A23,3)</f>
        <v>GEN</v>
      </c>
      <c r="L23" s="782" t="str">
        <f>RIGHT(A23,3)</f>
        <v>475</v>
      </c>
      <c r="M23" s="782" t="str">
        <f>B23</f>
        <v>INT</v>
      </c>
      <c r="N23" s="782" t="str">
        <f>IF(ISNUMBER(F23),ROUND(F23,0),"")</f>
        <v/>
      </c>
    </row>
    <row r="24" spans="1:14" s="781" customFormat="1" ht="4.3499999999999996" customHeight="1" x14ac:dyDescent="0.15">
      <c r="A24" s="780"/>
      <c r="B24" s="780"/>
      <c r="C24" s="877"/>
      <c r="D24" s="770"/>
      <c r="E24" s="770"/>
      <c r="F24" s="771"/>
      <c r="G24" s="777"/>
    </row>
    <row r="25" spans="1:14" s="781" customFormat="1" ht="30" customHeight="1" x14ac:dyDescent="0.15">
      <c r="A25" s="1121" t="s">
        <v>658</v>
      </c>
      <c r="B25" s="1121"/>
      <c r="C25" s="1126"/>
      <c r="D25" s="1122" t="s">
        <v>753</v>
      </c>
      <c r="E25" s="1121"/>
      <c r="F25" s="1123"/>
      <c r="G25" s="777"/>
    </row>
    <row r="26" spans="1:14" s="831" customFormat="1" ht="4.3499999999999996" customHeight="1" x14ac:dyDescent="0.15">
      <c r="A26" s="833"/>
      <c r="B26" s="833"/>
      <c r="C26" s="876"/>
      <c r="D26" s="847"/>
      <c r="E26" s="842"/>
      <c r="F26" s="843"/>
      <c r="G26" s="848"/>
    </row>
    <row r="27" spans="1:14" s="781" customFormat="1" ht="30" customHeight="1" x14ac:dyDescent="0.15">
      <c r="A27" s="828" t="s">
        <v>856</v>
      </c>
      <c r="B27" s="830" t="s">
        <v>656</v>
      </c>
      <c r="C27" s="877" t="s">
        <v>910</v>
      </c>
      <c r="D27" s="829" t="s">
        <v>857</v>
      </c>
      <c r="F27" s="1128"/>
      <c r="G27" s="788" t="str">
        <f>IF(AND(ISBLANK(F27),C27="x",$N$8&gt;0),"Attenzione: domanda a risposta obbligatoria",IF(ISBLANK(F27),"",IF(ISNUMBER(F27),IF(F27-INT(F27)=0,"","  Errore ! Inserire un numero intero senza decimali"),"  Errore ! Inserire un numero intero senza decimali")))</f>
        <v/>
      </c>
      <c r="K27" s="782" t="str">
        <f>LEFT(A27,3)</f>
        <v>LEG</v>
      </c>
      <c r="L27" s="782" t="str">
        <f>RIGHT(A27,3)</f>
        <v>428</v>
      </c>
      <c r="M27" s="782" t="str">
        <f>B27</f>
        <v>INT</v>
      </c>
      <c r="N27" s="782" t="str">
        <f>IF(ISNUMBER(F27),ROUND(F27,0),"")</f>
        <v/>
      </c>
    </row>
    <row r="28" spans="1:14" s="781" customFormat="1" ht="4.3499999999999996" customHeight="1" x14ac:dyDescent="0.15">
      <c r="A28" s="846"/>
      <c r="B28" s="846"/>
      <c r="C28" s="877"/>
      <c r="D28" s="846"/>
      <c r="E28" s="770"/>
      <c r="F28" s="771"/>
      <c r="G28" s="777"/>
    </row>
    <row r="29" spans="1:14" s="781" customFormat="1" ht="30" customHeight="1" x14ac:dyDescent="0.15">
      <c r="A29" s="805" t="s">
        <v>825</v>
      </c>
      <c r="B29" s="841" t="s">
        <v>656</v>
      </c>
      <c r="C29" s="877"/>
      <c r="D29" s="863" t="s">
        <v>911</v>
      </c>
      <c r="E29" s="1136"/>
      <c r="F29" s="1137"/>
      <c r="G29" s="788" t="str">
        <f>IF(AND(ISBLANK(F29),C29="x",$N$8&gt;0),"Attenzione: domanda a risposta obbligatoria",IF(ISBLANK(F29),"",IF(ISNUMBER(F29),IF(F29-INT(F29)=0,"","  Errore ! Inserire un numero intero senza decimali"),"  Errore ! Inserire un numero intero senza decimali")))</f>
        <v/>
      </c>
      <c r="K29" s="782" t="str">
        <f>LEFT(A29,3)</f>
        <v>LEG</v>
      </c>
      <c r="L29" s="782" t="str">
        <f>RIGHT(A29,3)</f>
        <v>398</v>
      </c>
      <c r="M29" s="782" t="str">
        <f>B29</f>
        <v>INT</v>
      </c>
      <c r="N29" s="782" t="str">
        <f>IF(ISNUMBER(F29),ROUND(F29,0),"")</f>
        <v/>
      </c>
    </row>
    <row r="30" spans="1:14" s="781" customFormat="1" ht="4.3499999999999996" customHeight="1" x14ac:dyDescent="0.15">
      <c r="A30" s="770"/>
      <c r="B30" s="770"/>
      <c r="C30" s="877"/>
      <c r="D30" s="770"/>
      <c r="E30" s="770"/>
      <c r="F30" s="771"/>
      <c r="G30" s="777"/>
    </row>
    <row r="31" spans="1:14" s="781" customFormat="1" ht="30" customHeight="1" x14ac:dyDescent="0.15">
      <c r="A31" s="805" t="s">
        <v>826</v>
      </c>
      <c r="B31" s="841" t="s">
        <v>656</v>
      </c>
      <c r="C31" s="877"/>
      <c r="D31" s="806" t="s">
        <v>827</v>
      </c>
      <c r="E31" s="1159"/>
      <c r="F31" s="1160"/>
      <c r="G31" s="788" t="str">
        <f>IF(AND(ISBLANK(F31),C31="x",$N$8&gt;0),"Attenzione: domanda a risposta obbligatoria",IF(ISBLANK(F31),"",IF(ISNUMBER(F31),IF(F31-INT(F31)=0,"","  Errore ! Inserire un numero intero senza decimali"),"  Errore ! Inserire un numero intero senza decimali")))</f>
        <v/>
      </c>
      <c r="K31" s="782" t="str">
        <f>LEFT(A31,3)</f>
        <v>LEG</v>
      </c>
      <c r="L31" s="782" t="str">
        <f>RIGHT(A31,3)</f>
        <v>406</v>
      </c>
      <c r="M31" s="782" t="str">
        <f>B31</f>
        <v>INT</v>
      </c>
      <c r="N31" s="782" t="str">
        <f>IF(ISNUMBER(F31),ROUND(F31,0),"")</f>
        <v/>
      </c>
    </row>
    <row r="32" spans="1:14" s="781" customFormat="1" ht="4.3499999999999996" customHeight="1" x14ac:dyDescent="0.15">
      <c r="A32" s="770"/>
      <c r="B32" s="770"/>
      <c r="C32" s="877"/>
      <c r="D32" s="770"/>
      <c r="E32" s="770"/>
      <c r="F32" s="771"/>
      <c r="G32" s="785"/>
    </row>
    <row r="33" spans="1:14" s="781" customFormat="1" ht="30" customHeight="1" x14ac:dyDescent="0.15">
      <c r="A33" s="805" t="s">
        <v>754</v>
      </c>
      <c r="B33" s="841" t="s">
        <v>656</v>
      </c>
      <c r="C33" s="877"/>
      <c r="D33" s="806" t="s">
        <v>755</v>
      </c>
      <c r="E33" s="832"/>
      <c r="F33" s="1157"/>
      <c r="G33" s="788" t="str">
        <f>IF(AND(ISBLANK(F33),C33="x",$N$8&gt;0),"Attenzione: domanda a risposta obbligatoria",IF(ISBLANK(F33),"",IF(ISNUMBER(F33),IF(F33-INT(F33)=0,"","  Errore ! Inserire un numero intero senza decimali"),"  Errore ! Inserire un numero intero senza decimali")))</f>
        <v/>
      </c>
      <c r="K33" s="782" t="str">
        <f>LEFT(A33,3)</f>
        <v>LEG</v>
      </c>
      <c r="L33" s="782" t="str">
        <f>RIGHT(A33,3)</f>
        <v>362</v>
      </c>
      <c r="M33" s="782" t="str">
        <f>B33</f>
        <v>INT</v>
      </c>
      <c r="N33" s="782" t="str">
        <f>IF(ISNUMBER(F33),ROUND(F33,0),"")</f>
        <v/>
      </c>
    </row>
    <row r="34" spans="1:14" s="781" customFormat="1" ht="4.3499999999999996" customHeight="1" x14ac:dyDescent="0.15">
      <c r="A34" s="773"/>
      <c r="B34" s="773"/>
      <c r="C34" s="877"/>
      <c r="D34" s="770"/>
      <c r="E34" s="770"/>
      <c r="F34" s="776"/>
      <c r="G34" s="777"/>
    </row>
    <row r="35" spans="1:14" s="781" customFormat="1" ht="30" customHeight="1" x14ac:dyDescent="0.15">
      <c r="A35" s="805" t="s">
        <v>756</v>
      </c>
      <c r="B35" s="841" t="s">
        <v>656</v>
      </c>
      <c r="C35" s="877"/>
      <c r="D35" s="806" t="s">
        <v>757</v>
      </c>
      <c r="E35" s="769"/>
      <c r="F35" s="1138"/>
      <c r="G35" s="788" t="str">
        <f>IF(AND(ISBLANK(F35),C35="x",$N$8&gt;0),"Attenzione: domanda a risposta obbligatoria",IF(ISBLANK(F35),"",IF(ISNUMBER(F35),IF(F35-INT(F35)=0,"","  Errore ! Inserire un numero intero senza decimali"),"  Errore ! Inserire un numero intero senza decimali")))</f>
        <v/>
      </c>
      <c r="K35" s="782" t="str">
        <f>LEFT(A35,3)</f>
        <v>LEG</v>
      </c>
      <c r="L35" s="782" t="str">
        <f>RIGHT(A35,3)</f>
        <v>364</v>
      </c>
      <c r="M35" s="782" t="str">
        <f>B35</f>
        <v>INT</v>
      </c>
      <c r="N35" s="782" t="str">
        <f>IF(ISNUMBER(F35),ROUND(F35,0),"")</f>
        <v/>
      </c>
    </row>
    <row r="36" spans="1:14" s="781" customFormat="1" ht="4.3499999999999996" customHeight="1" x14ac:dyDescent="0.15">
      <c r="A36" s="799"/>
      <c r="B36" s="799"/>
      <c r="C36" s="877"/>
      <c r="D36" s="807"/>
      <c r="E36" s="796"/>
      <c r="F36" s="802"/>
      <c r="G36" s="803"/>
    </row>
    <row r="37" spans="1:14" s="781" customFormat="1" ht="30" customHeight="1" x14ac:dyDescent="0.15">
      <c r="A37" s="1121" t="s">
        <v>659</v>
      </c>
      <c r="B37" s="1121"/>
      <c r="C37" s="1126"/>
      <c r="D37" s="1122" t="s">
        <v>660</v>
      </c>
      <c r="E37" s="1121"/>
      <c r="F37" s="1123"/>
      <c r="G37" s="803"/>
    </row>
    <row r="38" spans="1:14" s="781" customFormat="1" ht="4.3499999999999996" customHeight="1" x14ac:dyDescent="0.15">
      <c r="A38" s="796"/>
      <c r="B38" s="796"/>
      <c r="C38" s="877"/>
      <c r="D38" s="796"/>
      <c r="E38" s="796"/>
      <c r="F38" s="797"/>
      <c r="G38" s="803"/>
    </row>
    <row r="39" spans="1:14" s="781" customFormat="1" ht="30" customHeight="1" x14ac:dyDescent="0.15">
      <c r="A39" s="805" t="s">
        <v>1013</v>
      </c>
      <c r="B39" s="841" t="s">
        <v>656</v>
      </c>
      <c r="C39" s="1156"/>
      <c r="D39" s="806" t="s">
        <v>1014</v>
      </c>
      <c r="F39" s="1128"/>
      <c r="G39" s="788" t="str">
        <f>IF(AND(ISBLANK(F39),C39="x",$N$8&gt;0),"Attenzione: domanda a risposta obbligatoria",IF(ISBLANK(F39),"",IF(ISNUMBER(F39),IF(F39-INT(F39)=0,"","  Errore ! Inserire un numero intero senza decimali"),"  Errore ! Inserire un numero intero senza decimali")))</f>
        <v/>
      </c>
      <c r="K39" s="782" t="str">
        <f>LEFT(A39,3)</f>
        <v>ORG</v>
      </c>
      <c r="L39" s="782" t="str">
        <f>RIGHT(A39,3)</f>
        <v>460</v>
      </c>
      <c r="M39" s="782" t="str">
        <f>B39</f>
        <v>INT</v>
      </c>
      <c r="N39" s="782" t="str">
        <f>IF(ISNUMBER(F39),ROUND(F39,0),"")</f>
        <v/>
      </c>
    </row>
    <row r="40" spans="1:14" s="781" customFormat="1" ht="4.1500000000000004" customHeight="1" x14ac:dyDescent="0.15">
      <c r="A40" s="805"/>
      <c r="B40" s="805"/>
      <c r="C40" s="877"/>
      <c r="D40" s="852"/>
      <c r="E40" s="796"/>
      <c r="F40" s="802"/>
      <c r="G40" s="777"/>
    </row>
    <row r="41" spans="1:14" s="781" customFormat="1" ht="30" customHeight="1" x14ac:dyDescent="0.15">
      <c r="A41" s="805" t="s">
        <v>1015</v>
      </c>
      <c r="B41" s="841" t="s">
        <v>656</v>
      </c>
      <c r="C41" s="1156"/>
      <c r="D41" s="806" t="s">
        <v>1016</v>
      </c>
      <c r="F41" s="1128"/>
      <c r="G41" s="788" t="str">
        <f>IF(AND(ISBLANK(F41),C41="x",$N$8&gt;0),"Attenzione: domanda a risposta obbligatoria",IF(ISBLANK(F41),"",IF(ISNUMBER(F41),IF(F41-INT(F41)=0,"","  Errore ! Inserire un numero intero senza decimali"),"  Errore ! Inserire un numero intero senza decimali")))</f>
        <v/>
      </c>
      <c r="K41" s="782" t="str">
        <f>LEFT(A41,3)</f>
        <v>ORG</v>
      </c>
      <c r="L41" s="782" t="str">
        <f>RIGHT(A41,3)</f>
        <v>461</v>
      </c>
      <c r="M41" s="782" t="str">
        <f>B41</f>
        <v>INT</v>
      </c>
      <c r="N41" s="782" t="str">
        <f>IF(ISNUMBER(F41),ROUND(F41,0),"")</f>
        <v/>
      </c>
    </row>
    <row r="42" spans="1:14" s="781" customFormat="1" ht="4.1500000000000004" customHeight="1" x14ac:dyDescent="0.15">
      <c r="A42" s="805"/>
      <c r="B42" s="805"/>
      <c r="C42" s="877"/>
      <c r="D42" s="852"/>
      <c r="E42" s="796"/>
      <c r="F42" s="802"/>
      <c r="G42" s="777"/>
    </row>
    <row r="43" spans="1:14" s="781" customFormat="1" ht="30" customHeight="1" x14ac:dyDescent="0.15">
      <c r="A43" s="805" t="s">
        <v>1017</v>
      </c>
      <c r="B43" s="841" t="s">
        <v>656</v>
      </c>
      <c r="C43" s="1156"/>
      <c r="D43" s="806" t="s">
        <v>1204</v>
      </c>
      <c r="F43" s="1128"/>
      <c r="G43" s="788" t="str">
        <f>IF(AND(ISBLANK(F43),C43="x",$N$8&gt;0),"Attenzione: domanda a risposta obbligatoria",IF(ISBLANK(F43),"",IF(ISNUMBER(F43),IF(F43-INT(F43)=0,"","  Errore ! Inserire un numero intero senza decimali"),"  Errore ! Inserire un numero intero senza decimali")))</f>
        <v/>
      </c>
      <c r="K43" s="782" t="str">
        <f>LEFT(A43,3)</f>
        <v>ORG</v>
      </c>
      <c r="L43" s="782" t="str">
        <f>RIGHT(A43,3)</f>
        <v>462</v>
      </c>
      <c r="M43" s="782" t="str">
        <f>B43</f>
        <v>INT</v>
      </c>
      <c r="N43" s="782" t="str">
        <f>IF(ISNUMBER(F43),ROUND(F43,0),"")</f>
        <v/>
      </c>
    </row>
    <row r="44" spans="1:14" s="781" customFormat="1" ht="4.1500000000000004" customHeight="1" x14ac:dyDescent="0.15">
      <c r="A44" s="805"/>
      <c r="B44" s="805"/>
      <c r="C44" s="877"/>
      <c r="D44" s="852"/>
      <c r="E44" s="796"/>
      <c r="F44" s="802"/>
      <c r="G44" s="777"/>
    </row>
    <row r="45" spans="1:14" s="781" customFormat="1" ht="30" customHeight="1" x14ac:dyDescent="0.15">
      <c r="A45" s="805" t="s">
        <v>1018</v>
      </c>
      <c r="B45" s="841" t="s">
        <v>656</v>
      </c>
      <c r="C45" s="1156"/>
      <c r="D45" s="806" t="s">
        <v>1205</v>
      </c>
      <c r="F45" s="1128"/>
      <c r="G45" s="788" t="str">
        <f>IF(AND(ISBLANK(F45),C45="x",$N$8&gt;0),"Attenzione: domanda a risposta obbligatoria",IF(ISBLANK(F45),"",IF(ISNUMBER(F45),IF(F45-INT(F45)=0,"","  Errore ! Inserire un numero intero senza decimali"),"  Errore ! Inserire un numero intero senza decimali")))</f>
        <v/>
      </c>
      <c r="K45" s="782" t="str">
        <f>LEFT(A45,3)</f>
        <v>ORG</v>
      </c>
      <c r="L45" s="782" t="str">
        <f>RIGHT(A45,3)</f>
        <v>463</v>
      </c>
      <c r="M45" s="782" t="str">
        <f>B45</f>
        <v>INT</v>
      </c>
      <c r="N45" s="782" t="str">
        <f>IF(ISNUMBER(F45),ROUND(F45,0),"")</f>
        <v/>
      </c>
    </row>
    <row r="46" spans="1:14" s="781" customFormat="1" ht="4.1500000000000004" customHeight="1" x14ac:dyDescent="0.15">
      <c r="A46" s="805"/>
      <c r="B46" s="805"/>
      <c r="C46" s="877"/>
      <c r="D46" s="852"/>
      <c r="E46" s="796"/>
      <c r="F46" s="802"/>
      <c r="G46" s="777"/>
    </row>
    <row r="47" spans="1:14" s="781" customFormat="1" ht="30" customHeight="1" x14ac:dyDescent="0.15">
      <c r="A47" s="805" t="s">
        <v>1019</v>
      </c>
      <c r="B47" s="841" t="s">
        <v>656</v>
      </c>
      <c r="C47" s="1156"/>
      <c r="D47" s="806" t="s">
        <v>1020</v>
      </c>
      <c r="F47" s="1128"/>
      <c r="G47" s="788" t="str">
        <f>IF(AND(ISBLANK(F47),C47="x",$N$8&gt;0),"Attenzione: domanda a risposta obbligatoria",IF(ISBLANK(F47),"",IF(ISNUMBER(F47),IF(F47-INT(F47)=0,"","  Errore ! Inserire un numero intero senza decimali"),"  Errore ! Inserire un numero intero senza decimali")))</f>
        <v/>
      </c>
      <c r="K47" s="782" t="str">
        <f>LEFT(A47,3)</f>
        <v>ORG</v>
      </c>
      <c r="L47" s="782" t="str">
        <f>RIGHT(A47,3)</f>
        <v>464</v>
      </c>
      <c r="M47" s="782" t="str">
        <f>B47</f>
        <v>INT</v>
      </c>
      <c r="N47" s="782" t="str">
        <f>IF(ISNUMBER(F47),ROUND(F47,0),"")</f>
        <v/>
      </c>
    </row>
    <row r="48" spans="1:14" s="781" customFormat="1" ht="4.1500000000000004" customHeight="1" x14ac:dyDescent="0.15">
      <c r="A48" s="805"/>
      <c r="B48" s="805"/>
      <c r="C48" s="877"/>
      <c r="D48" s="852"/>
      <c r="E48" s="796"/>
      <c r="F48" s="802"/>
      <c r="G48" s="777"/>
    </row>
    <row r="49" spans="1:14" s="781" customFormat="1" ht="30" customHeight="1" x14ac:dyDescent="0.15">
      <c r="A49" s="805" t="s">
        <v>1021</v>
      </c>
      <c r="B49" s="841" t="s">
        <v>656</v>
      </c>
      <c r="C49" s="1156"/>
      <c r="D49" s="806" t="s">
        <v>1022</v>
      </c>
      <c r="F49" s="1128"/>
      <c r="G49" s="788" t="str">
        <f>IF(AND(ISBLANK(F49),C49="x",$N$8&gt;0),"Attenzione: domanda a risposta obbligatoria",IF(ISBLANK(F49),"",IF(ISNUMBER(F49),IF(F49-INT(F49)=0,"","  Errore ! Inserire un numero intero senza decimali"),"  Errore ! Inserire un numero intero senza decimali")))</f>
        <v/>
      </c>
      <c r="K49" s="782" t="str">
        <f>LEFT(A49,3)</f>
        <v>ORG</v>
      </c>
      <c r="L49" s="782" t="str">
        <f>RIGHT(A49,3)</f>
        <v>465</v>
      </c>
      <c r="M49" s="782" t="str">
        <f>B49</f>
        <v>INT</v>
      </c>
      <c r="N49" s="782" t="str">
        <f>IF(ISNUMBER(F49),ROUND(F49,0),"")</f>
        <v/>
      </c>
    </row>
    <row r="50" spans="1:14" s="781" customFormat="1" ht="4.1500000000000004" customHeight="1" x14ac:dyDescent="0.15">
      <c r="A50" s="799"/>
      <c r="B50" s="799"/>
      <c r="C50" s="877"/>
      <c r="D50" s="796"/>
      <c r="E50" s="796"/>
      <c r="F50" s="802"/>
      <c r="G50" s="777"/>
    </row>
    <row r="51" spans="1:14" s="781" customFormat="1" ht="4.3499999999999996" customHeight="1" x14ac:dyDescent="0.15">
      <c r="A51" s="799"/>
      <c r="B51" s="799"/>
      <c r="C51" s="877"/>
      <c r="D51" s="796"/>
      <c r="E51" s="796"/>
      <c r="F51" s="802"/>
      <c r="G51" s="803"/>
    </row>
    <row r="52" spans="1:14" s="781" customFormat="1" ht="30" customHeight="1" x14ac:dyDescent="0.15">
      <c r="A52" s="1121" t="s">
        <v>701</v>
      </c>
      <c r="B52" s="1121"/>
      <c r="C52" s="1375"/>
      <c r="D52" s="1122" t="s">
        <v>1130</v>
      </c>
      <c r="E52" s="1121"/>
      <c r="F52" s="1123"/>
      <c r="G52" s="788"/>
    </row>
    <row r="53" spans="1:14" s="781" customFormat="1" ht="4.3499999999999996" customHeight="1" x14ac:dyDescent="0.15">
      <c r="A53" s="852"/>
      <c r="B53" s="852"/>
      <c r="C53" s="1376"/>
      <c r="D53" s="852"/>
      <c r="E53" s="796"/>
      <c r="F53" s="797"/>
      <c r="G53" s="803"/>
    </row>
    <row r="54" spans="1:14" s="781" customFormat="1" ht="30" customHeight="1" x14ac:dyDescent="0.15">
      <c r="A54" s="805" t="s">
        <v>1131</v>
      </c>
      <c r="B54" s="841" t="s">
        <v>656</v>
      </c>
      <c r="C54" s="1136"/>
      <c r="D54" s="806" t="s">
        <v>1132</v>
      </c>
      <c r="F54" s="1128"/>
      <c r="G54" s="788" t="str">
        <f>IF(AND(ISBLANK(F54),C54="x",$N$8&gt;0),"Attenzione: domanda a risposta obbligatoria",IF(ISBLANK(F54),"",IF(ISNUMBER(F54),IF(F54-INT(F54)=0,"","  Errore ! Inserire un numero intero senza decimali"),"  Errore ! Inserire un numero intero senza decimali")))</f>
        <v/>
      </c>
      <c r="K54" s="782" t="str">
        <f>LEFT(A54,3)</f>
        <v>PEO</v>
      </c>
      <c r="L54" s="782" t="str">
        <f>RIGHT(A54,3)</f>
        <v>484</v>
      </c>
      <c r="M54" s="782" t="str">
        <f>B54</f>
        <v>INT</v>
      </c>
      <c r="N54" s="782" t="str">
        <f>IF(ISNUMBER(F54),ROUND(F54,0),"")</f>
        <v/>
      </c>
    </row>
    <row r="55" spans="1:14" s="781" customFormat="1" ht="4.3499999999999996" customHeight="1" x14ac:dyDescent="0.15">
      <c r="A55" s="805"/>
      <c r="B55" s="805"/>
      <c r="C55" s="1136"/>
      <c r="D55" s="852"/>
      <c r="E55" s="796"/>
      <c r="F55" s="802"/>
      <c r="G55" s="803"/>
    </row>
    <row r="56" spans="1:14" s="781" customFormat="1" ht="30" customHeight="1" x14ac:dyDescent="0.15">
      <c r="A56" s="1377" t="s">
        <v>1133</v>
      </c>
      <c r="B56" s="841" t="s">
        <v>656</v>
      </c>
      <c r="C56" s="1376"/>
      <c r="D56" s="1368" t="s">
        <v>1134</v>
      </c>
      <c r="F56" s="1128"/>
      <c r="G56" s="788" t="str">
        <f>IF(AND(ISBLANK(F56),C56="x",$N$8&gt;0),"Attenzione: domanda a risposta obbligatoria",IF(ISBLANK(F56),"",IF(ISNUMBER(F56),IF(F56-INT(F56)=0,"","  Errore ! Inserire un numero intero senza decimali"),"  Errore ! Inserire un numero intero senza decimali")))</f>
        <v/>
      </c>
      <c r="K56" s="782" t="str">
        <f>LEFT(A56,3)</f>
        <v>PEO</v>
      </c>
      <c r="L56" s="782" t="str">
        <f>RIGHT(A56,3)</f>
        <v>483</v>
      </c>
      <c r="M56" s="782" t="str">
        <f>B56</f>
        <v>INT</v>
      </c>
      <c r="N56" s="782" t="str">
        <f>IF(ISNUMBER(F56),ROUND(F56,0),"")</f>
        <v/>
      </c>
    </row>
    <row r="57" spans="1:14" s="781" customFormat="1" ht="4.3499999999999996" customHeight="1" x14ac:dyDescent="0.15">
      <c r="A57" s="799"/>
      <c r="B57" s="799"/>
      <c r="C57" s="877"/>
      <c r="D57" s="796"/>
      <c r="E57" s="796"/>
      <c r="F57" s="802"/>
      <c r="G57" s="785"/>
    </row>
    <row r="58" spans="1:14" s="781" customFormat="1" ht="30" customHeight="1" x14ac:dyDescent="0.15">
      <c r="A58" s="799" t="s">
        <v>702</v>
      </c>
      <c r="B58" s="800" t="s">
        <v>656</v>
      </c>
      <c r="C58" s="877"/>
      <c r="D58" s="1368" t="s">
        <v>1135</v>
      </c>
      <c r="F58" s="1128"/>
      <c r="G58" s="788" t="str">
        <f>IF(AND(ISBLANK(F58),C58="x",$N$8&gt;0),"Attenzione: domanda a risposta obbligatoria",IF(ISBLANK(F58),"",IF(ISNUMBER(F58),IF(F58-INT(F58)=0,"","  Errore ! Inserire un numero intero senza decimali"),"  Errore ! Inserire un numero intero senza decimali")))</f>
        <v/>
      </c>
      <c r="K58" s="782" t="str">
        <f>LEFT(A58,3)</f>
        <v>PEO</v>
      </c>
      <c r="L58" s="782" t="str">
        <f>RIGHT(A58,3)</f>
        <v>188</v>
      </c>
      <c r="M58" s="782" t="str">
        <f>B58</f>
        <v>INT</v>
      </c>
      <c r="N58" s="782" t="str">
        <f>IF(ISNUMBER(F58),ROUND(F58,0),"")</f>
        <v/>
      </c>
    </row>
    <row r="59" spans="1:14" s="781" customFormat="1" ht="4.3499999999999996" customHeight="1" x14ac:dyDescent="0.15">
      <c r="A59" s="799"/>
      <c r="B59" s="799"/>
      <c r="C59" s="877"/>
      <c r="D59" s="796"/>
      <c r="E59" s="796"/>
      <c r="F59" s="802"/>
      <c r="G59" s="809"/>
    </row>
    <row r="60" spans="1:14" s="781" customFormat="1" ht="30" customHeight="1" x14ac:dyDescent="0.15">
      <c r="A60" s="799" t="s">
        <v>703</v>
      </c>
      <c r="B60" s="800" t="s">
        <v>653</v>
      </c>
      <c r="C60" s="877"/>
      <c r="D60" s="829" t="s">
        <v>1136</v>
      </c>
      <c r="F60" s="801"/>
      <c r="G60" s="788" t="str">
        <f>IF(AND(ISBLANK(F60),C60="x",$N$8&gt;0),"Attenzione: domanda a risposta obbligatoria",IF(ISBLANK(F60),"",IF(AND(LEN(F60)=1,OR(UPPER(F60)="N",UPPER(F60)="S")),"",IF(ISBLANK(F60),"","  Errore ! Inserire S o N"))))</f>
        <v/>
      </c>
      <c r="K60" s="782" t="str">
        <f>LEFT(A60,3)</f>
        <v>PEO</v>
      </c>
      <c r="L60" s="782" t="str">
        <f>RIGHT(A60,3)</f>
        <v>119</v>
      </c>
      <c r="M60" s="782" t="str">
        <f>B60</f>
        <v>FLAG</v>
      </c>
      <c r="N60" s="782" t="str">
        <f>IF(AND(LEN(F60)=1,OR(UPPER(F60)="N",UPPER(F60)="S")),UPPER(F60),"")</f>
        <v/>
      </c>
    </row>
    <row r="61" spans="1:14" s="781" customFormat="1" ht="4.3499999999999996" customHeight="1" x14ac:dyDescent="0.15">
      <c r="A61" s="799"/>
      <c r="B61" s="799"/>
      <c r="C61" s="877"/>
      <c r="D61" s="796"/>
      <c r="E61" s="796"/>
      <c r="F61" s="802"/>
      <c r="G61" s="785"/>
    </row>
    <row r="62" spans="1:14" s="781" customFormat="1" ht="30" customHeight="1" x14ac:dyDescent="0.15">
      <c r="A62" s="805" t="s">
        <v>1023</v>
      </c>
      <c r="B62" s="841" t="s">
        <v>653</v>
      </c>
      <c r="C62" s="885"/>
      <c r="D62" s="806" t="s">
        <v>1137</v>
      </c>
      <c r="F62" s="801"/>
      <c r="G62" s="788" t="str">
        <f>IF(AND(ISBLANK(F62),C62="x",$N$8&gt;0),"Attenzione: domanda a risposta obbligatoria",IF(ISBLANK(F62),"",IF(AND(LEN(F62)=1,OR(UPPER(F62)="N",UPPER(F62)="S")),"",IF(ISBLANK(F62),"","  Errore ! Inserire S o N"))))</f>
        <v/>
      </c>
      <c r="K62" s="782" t="str">
        <f>LEFT(A62,3)</f>
        <v>PEO</v>
      </c>
      <c r="L62" s="782" t="str">
        <f>RIGHT(A62,3)</f>
        <v>473</v>
      </c>
      <c r="M62" s="782" t="str">
        <f>B62</f>
        <v>FLAG</v>
      </c>
      <c r="N62" s="782" t="str">
        <f>IF(AND(LEN(F62)=1,OR(UPPER(F62)="N",UPPER(F62)="S")),UPPER(F62),"")</f>
        <v/>
      </c>
    </row>
    <row r="63" spans="1:14" s="781" customFormat="1" ht="4.3499999999999996" customHeight="1" x14ac:dyDescent="0.15">
      <c r="A63" s="799"/>
      <c r="B63" s="799"/>
      <c r="C63" s="877"/>
      <c r="D63" s="796"/>
      <c r="E63" s="796"/>
      <c r="F63" s="802"/>
      <c r="G63" s="803"/>
    </row>
    <row r="64" spans="1:14" s="781" customFormat="1" ht="30" customHeight="1" x14ac:dyDescent="0.15">
      <c r="A64" s="799" t="s">
        <v>704</v>
      </c>
      <c r="B64" s="800" t="s">
        <v>656</v>
      </c>
      <c r="C64" s="877"/>
      <c r="D64" s="1141" t="s">
        <v>1138</v>
      </c>
      <c r="F64" s="1128"/>
      <c r="G64" s="788" t="str">
        <f>IF(AND(ISBLANK(F64),C64="x",$N$8&gt;0),"Attenzione: domanda a risposta obbligatoria",IF(ISBLANK(F64),"",IF(ISNUMBER(F64),IF(F64-INT(F64)=0,"","  Errore ! Inserire un numero intero senza decimali"),"  Errore ! Inserire un numero intero senza decimali")))</f>
        <v/>
      </c>
      <c r="K64" s="782" t="str">
        <f>LEFT(A64,3)</f>
        <v>PEO</v>
      </c>
      <c r="L64" s="782" t="str">
        <f>RIGHT(A64,3)</f>
        <v>133</v>
      </c>
      <c r="M64" s="782" t="str">
        <f>B64</f>
        <v>INT</v>
      </c>
      <c r="N64" s="782" t="str">
        <f>IF(ISNUMBER(F64),ROUND(F64,0),"")</f>
        <v/>
      </c>
    </row>
    <row r="65" spans="1:14" s="781" customFormat="1" ht="4.3499999999999996" customHeight="1" x14ac:dyDescent="0.15">
      <c r="A65" s="804"/>
      <c r="B65" s="804"/>
      <c r="C65" s="877"/>
      <c r="D65" s="796"/>
      <c r="E65" s="796"/>
      <c r="F65" s="797"/>
      <c r="G65" s="803"/>
    </row>
    <row r="66" spans="1:14" s="781" customFormat="1" ht="30" customHeight="1" x14ac:dyDescent="0.15">
      <c r="A66" s="1121" t="s">
        <v>675</v>
      </c>
      <c r="B66" s="1121"/>
      <c r="C66" s="1126"/>
      <c r="D66" s="1122" t="s">
        <v>799</v>
      </c>
      <c r="E66" s="1121"/>
      <c r="F66" s="1123"/>
      <c r="G66" s="788"/>
    </row>
    <row r="67" spans="1:14" s="781" customFormat="1" ht="4.3499999999999996" customHeight="1" x14ac:dyDescent="0.15">
      <c r="A67" s="796"/>
      <c r="B67" s="796"/>
      <c r="C67" s="877"/>
      <c r="D67" s="796"/>
      <c r="E67" s="796"/>
      <c r="F67" s="797"/>
      <c r="G67" s="803"/>
    </row>
    <row r="68" spans="1:14" s="781" customFormat="1" ht="30" customHeight="1" x14ac:dyDescent="0.15">
      <c r="A68" s="805" t="s">
        <v>764</v>
      </c>
      <c r="B68" s="841" t="s">
        <v>653</v>
      </c>
      <c r="C68" s="877"/>
      <c r="D68" s="806" t="s">
        <v>1139</v>
      </c>
      <c r="F68" s="801"/>
      <c r="G68" s="788" t="str">
        <f>IF(AND(ISBLANK(F68),C68="x",$N$8&gt;0),"Attenzione: domanda a risposta obbligatoria",IF(ISBLANK(F68),"",IF(AND(LEN(F68)=1,OR(UPPER(F68)="N",UPPER(F68)="S")),"",IF(ISBLANK(F68),"","  Errore ! Inserire S o N"))))</f>
        <v/>
      </c>
      <c r="K68" s="782" t="str">
        <f>LEFT(A68,3)</f>
        <v>PRD</v>
      </c>
      <c r="L68" s="782" t="str">
        <f>RIGHT(A68,3)</f>
        <v>396</v>
      </c>
      <c r="M68" s="782" t="str">
        <f>B68</f>
        <v>FLAG</v>
      </c>
      <c r="N68" s="782" t="str">
        <f>IF(AND(LEN(F68)=1,OR(UPPER(F68)="N",UPPER(F68)="S")),UPPER(F68),"")</f>
        <v/>
      </c>
    </row>
    <row r="69" spans="1:14" s="781" customFormat="1" ht="4.3499999999999996" customHeight="1" x14ac:dyDescent="0.15">
      <c r="A69" s="796"/>
      <c r="B69" s="796"/>
      <c r="C69" s="877"/>
      <c r="D69" s="796"/>
      <c r="E69" s="796"/>
      <c r="F69" s="797"/>
      <c r="G69" s="803"/>
    </row>
    <row r="70" spans="1:14" s="781" customFormat="1" ht="30" customHeight="1" x14ac:dyDescent="0.15">
      <c r="A70" s="805" t="s">
        <v>1024</v>
      </c>
      <c r="B70" s="841" t="s">
        <v>653</v>
      </c>
      <c r="C70" s="1161"/>
      <c r="D70" s="806" t="s">
        <v>1025</v>
      </c>
      <c r="F70" s="801"/>
      <c r="G70" s="788" t="str">
        <f>IF(AND(ISBLANK(F70),C70="x",$N$8&gt;0),"Attenzione: domanda a risposta obbligatoria",IF(ISBLANK(F70),"",IF(AND(LEN(F70)=1,OR(UPPER(F70)="N",UPPER(F70)="S")),"",IF(ISBLANK(F70),"","  Errore ! Inserire S o N"))))</f>
        <v/>
      </c>
      <c r="K70" s="782" t="str">
        <f>LEFT(A70,3)</f>
        <v>PRD</v>
      </c>
      <c r="L70" s="782" t="str">
        <f>RIGHT(A70,3)</f>
        <v>455</v>
      </c>
      <c r="M70" s="782" t="str">
        <f>B70</f>
        <v>FLAG</v>
      </c>
      <c r="N70" s="782" t="str">
        <f>IF(AND(LEN(F70)=1,OR(UPPER(F70)="N",UPPER(F70)="S")),UPPER(F70),"")</f>
        <v/>
      </c>
    </row>
    <row r="71" spans="1:14" s="781" customFormat="1" ht="4.3499999999999996" customHeight="1" x14ac:dyDescent="0.15">
      <c r="A71" s="805"/>
      <c r="B71" s="805"/>
      <c r="C71" s="1161"/>
      <c r="D71" s="852"/>
      <c r="E71" s="796"/>
      <c r="F71" s="802"/>
      <c r="G71" s="803"/>
    </row>
    <row r="72" spans="1:14" s="781" customFormat="1" ht="30" customHeight="1" x14ac:dyDescent="0.15">
      <c r="A72" s="805" t="s">
        <v>1026</v>
      </c>
      <c r="B72" s="841" t="s">
        <v>656</v>
      </c>
      <c r="C72" s="1161"/>
      <c r="D72" s="829" t="s">
        <v>1140</v>
      </c>
      <c r="F72" s="1128"/>
      <c r="G72" s="788" t="str">
        <f>IF(AND(ISBLANK(F72),C72="x",$N$8&gt;0),"Attenzione: domanda a risposta obbligatoria",IF(ISBLANK(F72),"",IF(ISNUMBER(F72),IF(F72-INT(F72)=0,"","  Errore ! Inserire un numero intero senza decimali"),"  Errore ! Inserire un numero intero senza decimali")))</f>
        <v/>
      </c>
      <c r="K72" s="782" t="str">
        <f>LEFT(A72,3)</f>
        <v>PRD</v>
      </c>
      <c r="L72" s="782" t="str">
        <f>RIGHT(A72,3)</f>
        <v>456</v>
      </c>
      <c r="M72" s="782" t="str">
        <f>B72</f>
        <v>INT</v>
      </c>
      <c r="N72" s="782" t="str">
        <f>IF(ISNUMBER(F72),ROUND(F72,0),"")</f>
        <v/>
      </c>
    </row>
    <row r="73" spans="1:14" s="781" customFormat="1" ht="4.3499999999999996" customHeight="1" x14ac:dyDescent="0.15">
      <c r="A73" s="805"/>
      <c r="B73" s="805"/>
      <c r="C73" s="1161"/>
      <c r="D73" s="852"/>
      <c r="E73" s="796"/>
      <c r="F73" s="802"/>
      <c r="G73" s="803"/>
    </row>
    <row r="74" spans="1:14" s="781" customFormat="1" ht="30" customHeight="1" x14ac:dyDescent="0.15">
      <c r="A74" s="805" t="s">
        <v>1027</v>
      </c>
      <c r="B74" s="841" t="s">
        <v>656</v>
      </c>
      <c r="C74" s="1161"/>
      <c r="D74" s="829" t="s">
        <v>1141</v>
      </c>
      <c r="F74" s="1128"/>
      <c r="G74" s="788" t="str">
        <f>IF(AND(ISBLANK(F74),C74="x",$N$8&gt;0),"Attenzione: domanda a risposta obbligatoria",IF(ISBLANK(F74),"",IF(ISNUMBER(F74),IF(F74-INT(F74)=0,"","  Errore ! Inserire un numero intero senza decimali"),"  Errore ! Inserire un numero intero senza decimali")))</f>
        <v/>
      </c>
      <c r="K74" s="782" t="str">
        <f>LEFT(A74,3)</f>
        <v>PRD</v>
      </c>
      <c r="L74" s="782" t="str">
        <f>RIGHT(A74,3)</f>
        <v>457</v>
      </c>
      <c r="M74" s="782" t="str">
        <f>B74</f>
        <v>INT</v>
      </c>
      <c r="N74" s="782" t="str">
        <f>IF(ISNUMBER(F74),ROUND(F74,0),"")</f>
        <v/>
      </c>
    </row>
    <row r="75" spans="1:14" s="781" customFormat="1" ht="4.3499999999999996" customHeight="1" x14ac:dyDescent="0.15">
      <c r="A75" s="805"/>
      <c r="B75" s="805"/>
      <c r="D75" s="852"/>
      <c r="E75" s="796"/>
      <c r="F75" s="802"/>
      <c r="G75" s="803"/>
    </row>
    <row r="76" spans="1:14" s="781" customFormat="1" ht="30" customHeight="1" x14ac:dyDescent="0.15">
      <c r="A76" s="805" t="s">
        <v>1196</v>
      </c>
      <c r="B76" s="841" t="s">
        <v>653</v>
      </c>
      <c r="C76" s="1136"/>
      <c r="D76" s="806" t="s">
        <v>1197</v>
      </c>
      <c r="F76" s="801"/>
      <c r="G76" s="788" t="str">
        <f>IF(AND(ISBLANK(F76),C76="x",$N$8&gt;0),"Attenzione: domanda a risposta obbligatoria",IF(ISBLANK(F76),"",IF(AND(LEN(F76)=1,OR(UPPER(F76)="N",UPPER(F76)="S")),"",IF(ISBLANK(F76),"","  Errore ! Inserire S o N"))))</f>
        <v/>
      </c>
      <c r="K76" s="782" t="str">
        <f>LEFT(A76,3)</f>
        <v>PRD</v>
      </c>
      <c r="L76" s="782" t="str">
        <f>RIGHT(A76,3)</f>
        <v>541</v>
      </c>
      <c r="M76" s="782" t="str">
        <f>B76</f>
        <v>FLAG</v>
      </c>
      <c r="N76" s="782" t="str">
        <f>IF(AND(LEN(F76)=1,OR(UPPER(F76)="N",UPPER(F76)="S")),UPPER(F76),"")</f>
        <v/>
      </c>
    </row>
    <row r="77" spans="1:14" s="781" customFormat="1" ht="4.3499999999999996" customHeight="1" x14ac:dyDescent="0.15">
      <c r="A77" s="805"/>
      <c r="B77" s="805"/>
      <c r="C77" s="1136"/>
      <c r="D77" s="1386"/>
      <c r="E77" s="796"/>
      <c r="F77" s="802"/>
      <c r="G77" s="803"/>
    </row>
    <row r="78" spans="1:14" s="781" customFormat="1" ht="30" customHeight="1" x14ac:dyDescent="0.15">
      <c r="A78" s="805" t="s">
        <v>1198</v>
      </c>
      <c r="B78" s="841" t="s">
        <v>653</v>
      </c>
      <c r="C78" s="1136"/>
      <c r="D78" s="806" t="s">
        <v>1199</v>
      </c>
      <c r="F78" s="801"/>
      <c r="G78" s="788" t="str">
        <f>IF(AND(ISBLANK(F78),C78="x",$N$8&gt;0),"Attenzione: domanda a risposta obbligatoria",IF(ISBLANK(F78),"",IF(AND(LEN(F78)=1,OR(UPPER(F78)="N",UPPER(F78)="S")),"",IF(ISBLANK(F78),"","  Errore ! Inserire S o N"))))</f>
        <v/>
      </c>
      <c r="K78" s="782" t="str">
        <f>LEFT(A78,3)</f>
        <v>PRD</v>
      </c>
      <c r="L78" s="782" t="str">
        <f>RIGHT(A78,3)</f>
        <v>542</v>
      </c>
      <c r="M78" s="782" t="str">
        <f>B78</f>
        <v>FLAG</v>
      </c>
      <c r="N78" s="782" t="str">
        <f>IF(AND(LEN(F78)=1,OR(UPPER(F78)="N",UPPER(F78)="S")),UPPER(F78),"")</f>
        <v/>
      </c>
    </row>
    <row r="79" spans="1:14" s="781" customFormat="1" ht="4.3499999999999996" customHeight="1" x14ac:dyDescent="0.15">
      <c r="A79" s="805"/>
      <c r="B79" s="805"/>
      <c r="C79" s="1136"/>
      <c r="D79" s="1387"/>
      <c r="E79" s="796"/>
      <c r="F79" s="802"/>
      <c r="G79" s="803"/>
    </row>
    <row r="80" spans="1:14" s="781" customFormat="1" ht="30" customHeight="1" x14ac:dyDescent="0.15">
      <c r="A80" s="805" t="s">
        <v>758</v>
      </c>
      <c r="B80" s="841" t="s">
        <v>656</v>
      </c>
      <c r="C80" s="877"/>
      <c r="D80" s="806" t="s">
        <v>759</v>
      </c>
      <c r="F80" s="1128"/>
      <c r="G80" s="788" t="str">
        <f>IF(AND(ISBLANK(F80),C80="x",$N$8&gt;0),"Attenzione: domanda a risposta obbligatoria",IF(ISBLANK(F80),"",IF(ISNUMBER(F80),IF(F80-INT(F80)=0,"","  Errore ! Inserire un numero intero senza decimali"),"  Errore ! Inserire un numero intero senza decimali")))</f>
        <v/>
      </c>
      <c r="K80" s="782" t="str">
        <f>LEFT(A80,3)</f>
        <v>PRD</v>
      </c>
      <c r="L80" s="782" t="str">
        <f>RIGHT(A80,3)</f>
        <v>368</v>
      </c>
      <c r="M80" s="782" t="str">
        <f>B80</f>
        <v>INT</v>
      </c>
      <c r="N80" s="782" t="str">
        <f>IF(ISNUMBER(F80),ROUND(F80,0),"")</f>
        <v/>
      </c>
    </row>
    <row r="81" spans="1:14" s="781" customFormat="1" ht="4.3499999999999996" customHeight="1" x14ac:dyDescent="0.15">
      <c r="A81" s="799"/>
      <c r="B81" s="799"/>
      <c r="C81" s="877"/>
      <c r="D81" s="796"/>
      <c r="E81" s="796"/>
      <c r="F81" s="802"/>
      <c r="G81" s="803"/>
    </row>
    <row r="82" spans="1:14" s="781" customFormat="1" ht="30" customHeight="1" x14ac:dyDescent="0.15">
      <c r="A82" s="805" t="s">
        <v>760</v>
      </c>
      <c r="B82" s="841" t="s">
        <v>656</v>
      </c>
      <c r="C82" s="877"/>
      <c r="D82" s="806" t="s">
        <v>761</v>
      </c>
      <c r="F82" s="1128"/>
      <c r="G82" s="788" t="str">
        <f>IF(AND(ISBLANK(F82),C82="x",$N$8&gt;0),"Attenzione: domanda a risposta obbligatoria",IF(ISBLANK(F82),"",IF(ISNUMBER(F82),IF(F82-INT(F82)=0,"","  Errore ! Inserire un numero intero senza decimali"),"  Errore ! Inserire un numero intero senza decimali")))</f>
        <v/>
      </c>
      <c r="K82" s="782" t="str">
        <f>LEFT(A82,3)</f>
        <v>PRD</v>
      </c>
      <c r="L82" s="782" t="str">
        <f>RIGHT(A82,3)</f>
        <v>369</v>
      </c>
      <c r="M82" s="782" t="str">
        <f>B82</f>
        <v>INT</v>
      </c>
      <c r="N82" s="782" t="str">
        <f>IF(ISNUMBER(F82),ROUND(F82,0),"")</f>
        <v/>
      </c>
    </row>
    <row r="83" spans="1:14" s="781" customFormat="1" ht="4.3499999999999996" customHeight="1" x14ac:dyDescent="0.15">
      <c r="A83" s="799"/>
      <c r="B83" s="799"/>
      <c r="C83" s="877"/>
      <c r="D83" s="796"/>
      <c r="E83" s="796"/>
      <c r="F83" s="802"/>
      <c r="G83" s="803"/>
    </row>
    <row r="84" spans="1:14" s="781" customFormat="1" ht="30" customHeight="1" x14ac:dyDescent="0.15">
      <c r="A84" s="805" t="s">
        <v>762</v>
      </c>
      <c r="B84" s="841" t="s">
        <v>656</v>
      </c>
      <c r="C84" s="877"/>
      <c r="D84" s="806" t="s">
        <v>763</v>
      </c>
      <c r="F84" s="1128"/>
      <c r="G84" s="788" t="str">
        <f>IF(AND(ISBLANK(F84),C84="x",$N$8&gt;0),"Attenzione: domanda a risposta obbligatoria",IF(ISBLANK(F84),"",IF(ISNUMBER(F84),IF(F84-INT(F84)=0,"","  Errore ! Inserire un numero intero senza decimali"),"  Errore ! Inserire un numero intero senza decimali")))</f>
        <v/>
      </c>
      <c r="K84" s="782" t="str">
        <f>LEFT(A84,3)</f>
        <v>PRD</v>
      </c>
      <c r="L84" s="782" t="str">
        <f>RIGHT(A84,3)</f>
        <v>370</v>
      </c>
      <c r="M84" s="782" t="str">
        <f>B84</f>
        <v>INT</v>
      </c>
      <c r="N84" s="782" t="str">
        <f>IF(ISNUMBER(F84),ROUND(F84,0),"")</f>
        <v/>
      </c>
    </row>
    <row r="85" spans="1:14" s="781" customFormat="1" ht="4.3499999999999996" customHeight="1" x14ac:dyDescent="0.15">
      <c r="A85" s="799"/>
      <c r="B85" s="799"/>
      <c r="C85" s="877"/>
      <c r="D85" s="796"/>
      <c r="E85" s="796"/>
      <c r="F85" s="802"/>
      <c r="G85" s="803"/>
    </row>
    <row r="86" spans="1:14" s="781" customFormat="1" ht="30" customHeight="1" x14ac:dyDescent="0.15">
      <c r="A86" s="799" t="s">
        <v>705</v>
      </c>
      <c r="B86" s="800" t="s">
        <v>656</v>
      </c>
      <c r="C86" s="877"/>
      <c r="D86" s="795" t="s">
        <v>815</v>
      </c>
      <c r="F86" s="1128"/>
      <c r="G86" s="788" t="str">
        <f>IF(AND(ISBLANK(F86),C86="x",$N$8&gt;0),"Attenzione: domanda a risposta obbligatoria",IF(ISBLANK(F86),"",IF(ISNUMBER(F86),IF(F86-INT(F86)=0,"","  Errore ! Inserire un numero intero senza decimali"),"  Errore ! Inserire un numero intero senza decimali")))</f>
        <v/>
      </c>
      <c r="K86" s="782" t="str">
        <f>LEFT(A86,3)</f>
        <v>PRD</v>
      </c>
      <c r="L86" s="782" t="str">
        <f>RIGHT(A86,3)</f>
        <v>287</v>
      </c>
      <c r="M86" s="782" t="str">
        <f>B86</f>
        <v>INT</v>
      </c>
      <c r="N86" s="782" t="str">
        <f>IF(ISNUMBER(F86),ROUND(F86,0),"")</f>
        <v/>
      </c>
    </row>
    <row r="87" spans="1:14" s="781" customFormat="1" ht="4.3499999999999996" customHeight="1" x14ac:dyDescent="0.15">
      <c r="A87" s="799"/>
      <c r="B87" s="799"/>
      <c r="C87" s="877"/>
      <c r="D87" s="796"/>
      <c r="E87" s="796"/>
      <c r="F87" s="802"/>
      <c r="G87" s="803"/>
    </row>
    <row r="88" spans="1:14" s="781" customFormat="1" ht="30" customHeight="1" x14ac:dyDescent="0.15">
      <c r="A88" s="799" t="s">
        <v>706</v>
      </c>
      <c r="B88" s="800" t="s">
        <v>656</v>
      </c>
      <c r="C88" s="877"/>
      <c r="D88" s="795" t="s">
        <v>816</v>
      </c>
      <c r="F88" s="1128"/>
      <c r="G88" s="788" t="str">
        <f>IF(AND(ISBLANK(F88),C88="x",$N$8&gt;0),"Attenzione: domanda a risposta obbligatoria",IF(ISBLANK(F88),"",IF(ISNUMBER(F88),IF(F88-INT(F88)=0,"","  Errore ! Inserire un numero intero senza decimali"),"  Errore ! Inserire un numero intero senza decimali")))</f>
        <v/>
      </c>
      <c r="K88" s="782" t="str">
        <f>LEFT(A88,3)</f>
        <v>PRD</v>
      </c>
      <c r="L88" s="782" t="str">
        <f>RIGHT(A88,3)</f>
        <v>134</v>
      </c>
      <c r="M88" s="782" t="str">
        <f>B88</f>
        <v>INT</v>
      </c>
      <c r="N88" s="782" t="str">
        <f>IF(ISNUMBER(F88),ROUND(F88,0),"")</f>
        <v/>
      </c>
    </row>
    <row r="89" spans="1:14" s="781" customFormat="1" ht="4.3499999999999996" customHeight="1" x14ac:dyDescent="0.15">
      <c r="A89" s="799"/>
      <c r="B89" s="799"/>
      <c r="C89" s="877"/>
      <c r="D89" s="796"/>
      <c r="E89" s="796"/>
      <c r="F89" s="802"/>
      <c r="G89" s="795"/>
    </row>
    <row r="90" spans="1:14" s="781" customFormat="1" ht="35.1" customHeight="1" x14ac:dyDescent="0.15">
      <c r="A90" s="1121" t="s">
        <v>1028</v>
      </c>
      <c r="B90" s="1121"/>
      <c r="C90" s="1126"/>
      <c r="D90" s="1122" t="s">
        <v>1029</v>
      </c>
      <c r="E90" s="1121"/>
      <c r="F90" s="1123"/>
      <c r="G90" s="788" t="str">
        <f>IF(AND(LEN(F90)=1,OR(UPPER(F90)="N",UPPER(F90)="S")),"",IF(ISBLANK(F90),"","  Errore ! Inserire S o N"))</f>
        <v/>
      </c>
    </row>
    <row r="91" spans="1:14" s="781" customFormat="1" ht="4.3499999999999996" customHeight="1" x14ac:dyDescent="0.15">
      <c r="A91" s="1155"/>
      <c r="B91" s="1155"/>
      <c r="C91" s="1161"/>
      <c r="D91" s="1162"/>
      <c r="E91" s="796"/>
      <c r="F91" s="802"/>
      <c r="G91" s="803"/>
    </row>
    <row r="92" spans="1:14" s="781" customFormat="1" ht="30" customHeight="1" x14ac:dyDescent="0.15">
      <c r="A92" s="805" t="s">
        <v>1030</v>
      </c>
      <c r="B92" s="841" t="s">
        <v>656</v>
      </c>
      <c r="C92" s="1161"/>
      <c r="D92" s="806" t="s">
        <v>1031</v>
      </c>
      <c r="F92" s="1128"/>
      <c r="G92" s="788" t="str">
        <f>IF(AND(ISBLANK(F92),C92="x",$N$8&gt;0),"Attenzione: domanda a risposta obbligatoria",IF(ISBLANK(F92),"",IF(ISNUMBER(F92),IF(F92-INT(F92)=0,"","  Errore ! Inserire un numero intero senza decimali"),"  Errore ! Inserire un numero intero senza decimali")))</f>
        <v/>
      </c>
      <c r="K92" s="782" t="str">
        <f>LEFT(A92,3)</f>
        <v>WLF</v>
      </c>
      <c r="L92" s="782" t="str">
        <f>RIGHT(A92,3)</f>
        <v>466</v>
      </c>
      <c r="M92" s="782" t="str">
        <f>B92</f>
        <v>INT</v>
      </c>
      <c r="N92" s="782" t="str">
        <f>IF(ISNUMBER(F92),ROUND(F92,0),"")</f>
        <v/>
      </c>
    </row>
    <row r="93" spans="1:14" s="781" customFormat="1" ht="4.3499999999999996" customHeight="1" x14ac:dyDescent="0.15">
      <c r="A93" s="805"/>
      <c r="B93" s="805"/>
      <c r="C93" s="1161"/>
      <c r="D93" s="852"/>
      <c r="E93" s="796"/>
      <c r="F93" s="802"/>
      <c r="G93" s="803"/>
    </row>
    <row r="94" spans="1:14" s="781" customFormat="1" ht="30" customHeight="1" x14ac:dyDescent="0.15">
      <c r="A94" s="805" t="s">
        <v>1032</v>
      </c>
      <c r="B94" s="841" t="s">
        <v>656</v>
      </c>
      <c r="C94" s="1161"/>
      <c r="D94" s="806" t="s">
        <v>1037</v>
      </c>
      <c r="F94" s="1128"/>
      <c r="G94" s="788" t="str">
        <f>IF(AND(ISBLANK(F94),C94="x",$N$8&gt;0),"Attenzione: domanda a risposta obbligatoria",IF(ISBLANK(F94),"",IF(ISNUMBER(F94),IF(F94-INT(F94)=0,"","  Errore ! Inserire un numero intero senza decimali"),"  Errore ! Inserire un numero intero senza decimali")))</f>
        <v/>
      </c>
      <c r="K94" s="782" t="str">
        <f>LEFT(A94,3)</f>
        <v>WLF</v>
      </c>
      <c r="L94" s="782" t="str">
        <f>RIGHT(A94,3)</f>
        <v>467</v>
      </c>
      <c r="M94" s="782" t="str">
        <f>B94</f>
        <v>INT</v>
      </c>
      <c r="N94" s="782" t="str">
        <f>IF(ISNUMBER(F94),ROUND(F94,0),"")</f>
        <v/>
      </c>
    </row>
    <row r="95" spans="1:14" s="781" customFormat="1" ht="4.3499999999999996" customHeight="1" x14ac:dyDescent="0.15">
      <c r="A95" s="805"/>
      <c r="B95" s="805"/>
      <c r="D95" s="852"/>
      <c r="E95" s="796"/>
      <c r="F95" s="802"/>
      <c r="G95" s="803"/>
    </row>
    <row r="96" spans="1:14" s="781" customFormat="1" ht="30" customHeight="1" x14ac:dyDescent="0.15">
      <c r="A96" s="805" t="s">
        <v>1033</v>
      </c>
      <c r="B96" s="841" t="s">
        <v>656</v>
      </c>
      <c r="C96" s="1161"/>
      <c r="D96" s="806" t="s">
        <v>1038</v>
      </c>
      <c r="F96" s="1128"/>
      <c r="G96" s="788" t="str">
        <f>IF(AND(ISBLANK(F96),C96="x",$N$8&gt;0),"Attenzione: domanda a risposta obbligatoria",IF(ISBLANK(F96),"",IF(ISNUMBER(F96),IF(F96-INT(F96)=0,"","  Errore ! Inserire un numero intero senza decimali"),"  Errore ! Inserire un numero intero senza decimali")))</f>
        <v/>
      </c>
      <c r="K96" s="782" t="str">
        <f>LEFT(A96,3)</f>
        <v>WLF</v>
      </c>
      <c r="L96" s="782" t="str">
        <f>RIGHT(A96,3)</f>
        <v>468</v>
      </c>
      <c r="M96" s="782" t="str">
        <f>B96</f>
        <v>INT</v>
      </c>
      <c r="N96" s="782" t="str">
        <f>IF(ISNUMBER(F96),ROUND(F96,0),"")</f>
        <v/>
      </c>
    </row>
    <row r="97" spans="1:14" s="781" customFormat="1" ht="4.3499999999999996" customHeight="1" x14ac:dyDescent="0.15">
      <c r="A97" s="805"/>
      <c r="B97" s="805"/>
      <c r="D97" s="852"/>
      <c r="E97" s="796"/>
      <c r="F97" s="802"/>
      <c r="G97" s="803"/>
    </row>
    <row r="98" spans="1:14" s="781" customFormat="1" ht="30" customHeight="1" x14ac:dyDescent="0.15">
      <c r="A98" s="805" t="s">
        <v>1034</v>
      </c>
      <c r="B98" s="841" t="s">
        <v>656</v>
      </c>
      <c r="C98" s="1161"/>
      <c r="D98" s="806" t="s">
        <v>1039</v>
      </c>
      <c r="F98" s="1128"/>
      <c r="G98" s="788" t="str">
        <f>IF(AND(ISBLANK(F98),C98="x",$N$8&gt;0),"Attenzione: domanda a risposta obbligatoria",IF(ISBLANK(F98),"",IF(ISNUMBER(F98),IF(F98-INT(F98)=0,"","  Errore ! Inserire un numero intero senza decimali"),"  Errore ! Inserire un numero intero senza decimali")))</f>
        <v/>
      </c>
      <c r="K98" s="782" t="str">
        <f>LEFT(A98,3)</f>
        <v>WLF</v>
      </c>
      <c r="L98" s="782" t="str">
        <f>RIGHT(A98,3)</f>
        <v>469</v>
      </c>
      <c r="M98" s="782" t="str">
        <f>B98</f>
        <v>INT</v>
      </c>
      <c r="N98" s="782" t="str">
        <f>IF(ISNUMBER(F98),ROUND(F98,0),"")</f>
        <v/>
      </c>
    </row>
    <row r="99" spans="1:14" s="781" customFormat="1" ht="4.3499999999999996" customHeight="1" x14ac:dyDescent="0.15">
      <c r="A99" s="805"/>
      <c r="B99" s="805"/>
      <c r="D99" s="852"/>
      <c r="E99" s="796"/>
      <c r="F99" s="802"/>
      <c r="G99" s="803"/>
    </row>
    <row r="100" spans="1:14" s="781" customFormat="1" ht="30" customHeight="1" x14ac:dyDescent="0.15">
      <c r="A100" s="805" t="s">
        <v>1035</v>
      </c>
      <c r="B100" s="841" t="s">
        <v>656</v>
      </c>
      <c r="C100" s="1161"/>
      <c r="D100" s="806" t="s">
        <v>1040</v>
      </c>
      <c r="F100" s="1128"/>
      <c r="G100" s="788" t="str">
        <f>IF(AND(ISBLANK(F100),C100="x",$N$8&gt;0),"Attenzione: domanda a risposta obbligatoria",IF(ISBLANK(F100),"",IF(ISNUMBER(F100),IF(F100-INT(F100)=0,"","  Errore ! Inserire un numero intero senza decimali"),"  Errore ! Inserire un numero intero senza decimali")))</f>
        <v/>
      </c>
      <c r="K100" s="782" t="str">
        <f>LEFT(A100,3)</f>
        <v>WLF</v>
      </c>
      <c r="L100" s="782" t="str">
        <f>RIGHT(A100,3)</f>
        <v>470</v>
      </c>
      <c r="M100" s="782" t="str">
        <f>B100</f>
        <v>INT</v>
      </c>
      <c r="N100" s="782" t="str">
        <f>IF(ISNUMBER(F100),ROUND(F100,0),"")</f>
        <v/>
      </c>
    </row>
    <row r="101" spans="1:14" s="781" customFormat="1" ht="4.3499999999999996" customHeight="1" x14ac:dyDescent="0.15">
      <c r="A101" s="805"/>
      <c r="B101" s="805"/>
      <c r="D101" s="852"/>
      <c r="E101" s="796"/>
      <c r="F101" s="802"/>
      <c r="G101" s="803"/>
    </row>
    <row r="102" spans="1:14" s="781" customFormat="1" ht="30" customHeight="1" x14ac:dyDescent="0.15">
      <c r="A102" s="805" t="s">
        <v>1036</v>
      </c>
      <c r="B102" s="841" t="s">
        <v>656</v>
      </c>
      <c r="C102" s="1161"/>
      <c r="D102" s="806" t="s">
        <v>1041</v>
      </c>
      <c r="F102" s="1128"/>
      <c r="G102" s="788" t="str">
        <f>IF(AND(ISBLANK(F102),C102="x",$N$8&gt;0),"Attenzione: domanda a risposta obbligatoria",IF(ISBLANK(F102),"",IF(ISNUMBER(F102),IF(F102-INT(F102)=0,"","  Errore ! Inserire un numero intero senza decimali"),"  Errore ! Inserire un numero intero senza decimali")))</f>
        <v/>
      </c>
      <c r="K102" s="782" t="str">
        <f>LEFT(A102,3)</f>
        <v>WLF</v>
      </c>
      <c r="L102" s="782" t="str">
        <f>RIGHT(A102,3)</f>
        <v>471</v>
      </c>
      <c r="M102" s="782" t="str">
        <f>B102</f>
        <v>INT</v>
      </c>
      <c r="N102" s="782" t="str">
        <f>IF(ISNUMBER(F102),ROUND(F102,0),"")</f>
        <v/>
      </c>
    </row>
    <row r="103" spans="1:14" s="781" customFormat="1" ht="4.3499999999999996" customHeight="1" x14ac:dyDescent="0.15">
      <c r="A103" s="805"/>
      <c r="B103" s="805"/>
      <c r="D103" s="852"/>
      <c r="E103" s="796"/>
      <c r="F103" s="802"/>
      <c r="G103" s="803"/>
    </row>
    <row r="104" spans="1:14" s="781" customFormat="1" ht="30" customHeight="1" x14ac:dyDescent="0.15">
      <c r="A104" s="805" t="s">
        <v>1194</v>
      </c>
      <c r="B104" s="841" t="s">
        <v>656</v>
      </c>
      <c r="C104" s="1161"/>
      <c r="D104" s="806" t="s">
        <v>1195</v>
      </c>
      <c r="F104" s="1128"/>
      <c r="G104" s="788" t="str">
        <f>IF(AND(ISBLANK(F104),C104="x",$N$8&gt;0),"Attenzione: domanda a risposta obbligatoria",IF(ISBLANK(F104),"",IF(ISNUMBER(F104),IF(F104-INT(F104)=0,"","  Errore ! Inserire un numero intero senza decimali"),"  Errore ! Inserire un numero intero senza decimali")))</f>
        <v/>
      </c>
      <c r="K104" s="782" t="str">
        <f>LEFT(A104,3)</f>
        <v>WLF</v>
      </c>
      <c r="L104" s="782" t="str">
        <f>RIGHT(A104,3)</f>
        <v>521</v>
      </c>
      <c r="M104" s="782" t="str">
        <f>B104</f>
        <v>INT</v>
      </c>
      <c r="N104" s="782" t="str">
        <f>IF(ISNUMBER(F104),ROUND(F104,0),"")</f>
        <v/>
      </c>
    </row>
    <row r="105" spans="1:14" s="781" customFormat="1" ht="4.3499999999999996" customHeight="1" x14ac:dyDescent="0.15">
      <c r="A105" s="805"/>
      <c r="B105" s="805"/>
      <c r="D105" s="852"/>
      <c r="E105" s="796"/>
      <c r="F105" s="802"/>
      <c r="G105" s="803"/>
    </row>
    <row r="106" spans="1:14" s="781" customFormat="1" ht="30" customHeight="1" x14ac:dyDescent="0.15">
      <c r="A106" s="1121" t="s">
        <v>678</v>
      </c>
      <c r="B106" s="1121"/>
      <c r="C106" s="1122"/>
      <c r="D106" s="1122" t="s">
        <v>679</v>
      </c>
      <c r="E106" s="1144"/>
      <c r="F106" s="1145"/>
      <c r="G106" s="812"/>
      <c r="I106" s="1140"/>
      <c r="J106" s="810"/>
    </row>
    <row r="107" spans="1:14" s="781" customFormat="1" ht="4.3499999999999996" customHeight="1" x14ac:dyDescent="0.2">
      <c r="A107" s="811"/>
      <c r="B107" s="811"/>
      <c r="D107" s="796"/>
      <c r="E107" s="796"/>
      <c r="F107" s="797"/>
      <c r="G107" s="793"/>
    </row>
    <row r="108" spans="1:14" s="781" customFormat="1" x14ac:dyDescent="0.2">
      <c r="A108" s="799" t="s">
        <v>680</v>
      </c>
      <c r="B108" s="799" t="s">
        <v>391</v>
      </c>
      <c r="D108" s="796" t="s">
        <v>681</v>
      </c>
      <c r="F108" s="797"/>
      <c r="G108" s="793"/>
      <c r="K108" s="782" t="str">
        <f>LEFT(A108,3)</f>
        <v>INF</v>
      </c>
      <c r="L108" s="782" t="str">
        <f>RIGHT(A108,3)</f>
        <v>209</v>
      </c>
      <c r="M108" s="782" t="str">
        <f>B108</f>
        <v>NOTE</v>
      </c>
      <c r="N108" s="781" t="str">
        <f>IF(ISBLANK(D109),"",LEFT(D109,1500))</f>
        <v/>
      </c>
    </row>
    <row r="109" spans="1:14" s="781" customFormat="1" ht="45" customHeight="1" x14ac:dyDescent="0.15">
      <c r="A109" s="1146"/>
      <c r="B109" s="1146"/>
      <c r="D109" s="1563"/>
      <c r="E109" s="1564"/>
      <c r="F109" s="1565"/>
      <c r="G109" s="788" t="str">
        <f>IF(LEN(D109)&gt;1500,"Attenzione, è stato superato il numero massimo di 1500 caratteri","")</f>
        <v/>
      </c>
    </row>
    <row r="110" spans="1:14" s="781" customFormat="1" x14ac:dyDescent="0.2">
      <c r="A110" s="814"/>
      <c r="B110" s="814"/>
      <c r="D110" s="796"/>
      <c r="E110" s="796"/>
      <c r="F110" s="815"/>
      <c r="G110" s="793"/>
    </row>
    <row r="111" spans="1:14" s="781" customFormat="1" x14ac:dyDescent="0.2">
      <c r="A111" s="799" t="s">
        <v>682</v>
      </c>
      <c r="B111" s="799" t="s">
        <v>391</v>
      </c>
      <c r="D111" s="796" t="s">
        <v>683</v>
      </c>
      <c r="F111" s="797"/>
      <c r="G111" s="793"/>
      <c r="K111" s="782" t="str">
        <f>LEFT(A111,3)</f>
        <v>INF</v>
      </c>
      <c r="L111" s="782" t="str">
        <f>RIGHT(A111,3)</f>
        <v>127</v>
      </c>
      <c r="M111" s="782" t="str">
        <f>B111</f>
        <v>NOTE</v>
      </c>
      <c r="N111" s="781" t="str">
        <f>IF(ISBLANK(D112),"",LEFT(D112,1500))</f>
        <v/>
      </c>
    </row>
    <row r="112" spans="1:14" s="781" customFormat="1" ht="45" customHeight="1" x14ac:dyDescent="0.15">
      <c r="A112" s="1146"/>
      <c r="B112" s="1146"/>
      <c r="D112" s="1563"/>
      <c r="E112" s="1564"/>
      <c r="F112" s="1565"/>
      <c r="G112" s="788" t="str">
        <f>IF(LEN(D112)&gt;1500,"Attenzione, è stato superato il numero massimo di 1500 caratteri","")</f>
        <v/>
      </c>
      <c r="K112" s="789" t="s">
        <v>531</v>
      </c>
    </row>
  </sheetData>
  <sheetProtection algorithmName="SHA-512" hashValue="apwUqkc0KIZaxJDYOMewQE/u7fI++DwtxEyUxO2EJ5IqfbQWodZqmrimHyxoCxx2Ta9P0ItUifkZ1hmaA0DDLA==" saltValue="5z0bsJQF+7ucNXHYo3rcvQ==" spinCount="100000" sheet="1" formatColumns="0" selectLockedCells="1"/>
  <dataConsolidate/>
  <mergeCells count="4">
    <mergeCell ref="D112:F112"/>
    <mergeCell ref="G2:G3"/>
    <mergeCell ref="G5:G6"/>
    <mergeCell ref="D109:F109"/>
  </mergeCells>
  <dataValidations count="4">
    <dataValidation type="textLength" allowBlank="1" showInputMessage="1" showErrorMessage="1" errorTitle="Errore di digitazione" error="Inserire massimo 1500 caratteri" sqref="D109:F109 D112:F112" xr:uid="{6569EF3C-B262-4333-B9D4-3C95321B5592}">
      <formula1>0</formula1>
      <formula2>1500</formula2>
    </dataValidation>
    <dataValidation type="whole" operator="lessThan" allowBlank="1" showInputMessage="1" showErrorMessage="1" errorTitle="Errore di digitazione" error="Inserire solo numeri interi o lasciare vuoto." sqref="F86 F88 F64 F80 F82 F84 F58 F92 F94 F96 F98 F100 F102 F56 F35 F33 F29 F27 F39 F43 F47 F41 F45 F49 F72 F74 F19 F21 F23 F54 F104" xr:uid="{8C0D78B5-95C6-439B-9677-44EF6516F36D}">
      <formula1>100000000000000</formula1>
    </dataValidation>
    <dataValidation type="list" allowBlank="1" showDropDown="1" showInputMessage="1" showErrorMessage="1" errorTitle="Errore di digitazione" error="Digitare 'S' o 'N' o lasciare in bianco" sqref="F62 F60 F68 F70 F76 F78" xr:uid="{D81E4363-8CD1-4341-AC70-9F5E7A7B98F1}">
      <formula1>"s,n,S,N"</formula1>
    </dataValidation>
    <dataValidation type="date" allowBlank="1" showInputMessage="1" showErrorMessage="1" errorTitle="Errore di digitazione" error="Digitare una data non anteriore al 1 Gennaio dell'anno precedente alla di rilevazione (gg/mm/aaaa)" sqref="F15 F13 F17" xr:uid="{2E42DF7B-0DE6-4097-8AD6-E22A38F8D2EB}">
      <formula1>44562</formula1>
      <formula2>TODAY()</formula2>
    </dataValidation>
  </dataValidations>
  <printOptions horizontalCentered="1"/>
  <pageMargins left="0.39370078740157483" right="0.39370078740157483" top="0.78740157480314965" bottom="0.39370078740157483" header="0.31496062992125984" footer="0.31496062992125984"/>
  <pageSetup paperSize="9" scale="3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L33"/>
  <sheetViews>
    <sheetView showGridLines="0" workbookViewId="0">
      <pane ySplit="3" topLeftCell="A6" activePane="bottomLeft" state="frozen"/>
      <selection pane="bottomLeft" activeCell="C25" sqref="C25"/>
    </sheetView>
  </sheetViews>
  <sheetFormatPr defaultRowHeight="10.5" x14ac:dyDescent="0.15"/>
  <cols>
    <col min="1" max="1" width="87.6640625" customWidth="1"/>
    <col min="2" max="3" width="25.6640625" customWidth="1"/>
    <col min="4" max="4" width="60.6640625" customWidth="1"/>
    <col min="5" max="5" width="9.1640625" hidden="1" customWidth="1"/>
    <col min="6" max="6" width="10" customWidth="1"/>
  </cols>
  <sheetData>
    <row r="1" spans="1:12" s="3" customFormat="1" ht="43.5" customHeight="1" x14ac:dyDescent="0.2">
      <c r="A1" s="1447" t="str">
        <f>'t1'!A1</f>
        <v>ENTI PUBBLICI NON ECONOMICI - anno 2024</v>
      </c>
      <c r="B1" s="1447"/>
      <c r="C1" s="1566"/>
      <c r="D1" s="1566"/>
      <c r="F1" s="4"/>
      <c r="L1"/>
    </row>
    <row r="2" spans="1:12" ht="30" customHeight="1" thickBot="1" x14ac:dyDescent="0.2">
      <c r="A2" s="1567" t="str">
        <f>IF(B31&gt;0,IF($F$32&gt;0," ","Attenzione: Compilare la presente Tabella"),IF(C31=0," "," "))</f>
        <v xml:space="preserve"> </v>
      </c>
      <c r="B2" s="1567"/>
      <c r="C2" s="1568"/>
      <c r="D2" s="1568"/>
    </row>
    <row r="3" spans="1:12" ht="21.75" customHeight="1" thickBot="1" x14ac:dyDescent="0.2">
      <c r="A3" s="1339" t="s">
        <v>525</v>
      </c>
      <c r="B3" s="1337" t="s">
        <v>526</v>
      </c>
      <c r="C3" s="1337" t="s">
        <v>527</v>
      </c>
      <c r="D3" s="1340" t="s">
        <v>391</v>
      </c>
    </row>
    <row r="4" spans="1:12" s="644" customFormat="1" ht="23.25" customHeight="1" x14ac:dyDescent="0.2">
      <c r="A4" s="1341" t="s">
        <v>528</v>
      </c>
      <c r="B4" s="1342">
        <f>'t12'!K22</f>
        <v>13191</v>
      </c>
      <c r="C4" s="1569">
        <v>24537</v>
      </c>
      <c r="D4" s="1571" t="s">
        <v>1222</v>
      </c>
      <c r="E4" s="644" t="s">
        <v>529</v>
      </c>
    </row>
    <row r="5" spans="1:12" s="644" customFormat="1" ht="23.25" customHeight="1" x14ac:dyDescent="0.2">
      <c r="A5" s="568" t="s">
        <v>530</v>
      </c>
      <c r="B5" s="645">
        <f>'t13'!V22</f>
        <v>3804</v>
      </c>
      <c r="C5" s="1570"/>
      <c r="D5" s="1572"/>
      <c r="E5" s="644" t="s">
        <v>531</v>
      </c>
    </row>
    <row r="6" spans="1:12" s="644" customFormat="1" ht="23.25" customHeight="1" x14ac:dyDescent="0.2">
      <c r="A6" s="568" t="s">
        <v>532</v>
      </c>
      <c r="B6" s="645">
        <f>'t14'!D4</f>
        <v>0</v>
      </c>
      <c r="C6" s="1570"/>
      <c r="D6" s="1572"/>
      <c r="E6" s="644" t="s">
        <v>531</v>
      </c>
    </row>
    <row r="7" spans="1:12" s="644" customFormat="1" ht="23.25" customHeight="1" x14ac:dyDescent="0.2">
      <c r="A7" s="568" t="s">
        <v>533</v>
      </c>
      <c r="B7" s="645">
        <f>'t14'!D5</f>
        <v>0</v>
      </c>
      <c r="C7" s="718"/>
      <c r="D7" s="1343"/>
      <c r="E7" s="644" t="s">
        <v>153</v>
      </c>
    </row>
    <row r="8" spans="1:12" s="644" customFormat="1" ht="23.25" customHeight="1" x14ac:dyDescent="0.2">
      <c r="A8" s="568" t="s">
        <v>132</v>
      </c>
      <c r="B8" s="645">
        <f>'t14'!D6</f>
        <v>0</v>
      </c>
      <c r="C8" s="718"/>
      <c r="D8" s="1343"/>
      <c r="E8" s="644" t="s">
        <v>154</v>
      </c>
    </row>
    <row r="9" spans="1:12" s="644" customFormat="1" ht="23.25" customHeight="1" x14ac:dyDescent="0.2">
      <c r="A9" s="646" t="s">
        <v>136</v>
      </c>
      <c r="B9" s="645">
        <f>'t14'!D7</f>
        <v>0</v>
      </c>
      <c r="C9" s="718"/>
      <c r="D9" s="1343"/>
      <c r="E9" s="644" t="s">
        <v>155</v>
      </c>
    </row>
    <row r="10" spans="1:12" s="644" customFormat="1" ht="23.25" hidden="1" customHeight="1" x14ac:dyDescent="0.2">
      <c r="A10" s="568" t="s">
        <v>135</v>
      </c>
      <c r="B10" s="645">
        <f>'t14'!D8</f>
        <v>0</v>
      </c>
      <c r="C10" s="1338"/>
      <c r="D10" s="1344"/>
      <c r="E10" s="644" t="s">
        <v>156</v>
      </c>
    </row>
    <row r="11" spans="1:12" s="644" customFormat="1" ht="23.25" hidden="1" customHeight="1" x14ac:dyDescent="0.2">
      <c r="A11" s="568" t="s">
        <v>134</v>
      </c>
      <c r="B11" s="645">
        <f>'t14'!D9</f>
        <v>0</v>
      </c>
      <c r="C11" s="1338"/>
      <c r="D11" s="1344"/>
      <c r="E11" s="644" t="s">
        <v>157</v>
      </c>
    </row>
    <row r="12" spans="1:12" s="644" customFormat="1" ht="23.25" hidden="1" customHeight="1" x14ac:dyDescent="0.2">
      <c r="A12" s="568" t="s">
        <v>548</v>
      </c>
      <c r="B12" s="645">
        <f>'t14'!D10</f>
        <v>0</v>
      </c>
      <c r="C12" s="1338"/>
      <c r="D12" s="1344"/>
      <c r="E12" s="644" t="s">
        <v>146</v>
      </c>
    </row>
    <row r="13" spans="1:12" s="644" customFormat="1" ht="23.25" customHeight="1" x14ac:dyDescent="0.2">
      <c r="A13" s="568" t="s">
        <v>549</v>
      </c>
      <c r="B13" s="645">
        <f>'t14'!D23</f>
        <v>0</v>
      </c>
      <c r="C13" s="718"/>
      <c r="D13" s="1343"/>
      <c r="E13" s="644" t="s">
        <v>145</v>
      </c>
    </row>
    <row r="14" spans="1:12" s="644" customFormat="1" ht="23.25" hidden="1" customHeight="1" x14ac:dyDescent="0.2">
      <c r="A14" s="568" t="s">
        <v>158</v>
      </c>
      <c r="B14" s="645">
        <f>'t14'!D11</f>
        <v>0</v>
      </c>
      <c r="C14" s="1338"/>
      <c r="D14" s="1344"/>
      <c r="E14" s="644" t="s">
        <v>159</v>
      </c>
    </row>
    <row r="15" spans="1:12" s="644" customFormat="1" ht="23.25" customHeight="1" x14ac:dyDescent="0.2">
      <c r="A15" s="568" t="s">
        <v>1079</v>
      </c>
      <c r="B15" s="647">
        <f>'t14'!D12</f>
        <v>2435</v>
      </c>
      <c r="C15" s="718">
        <v>2244</v>
      </c>
      <c r="D15" s="1343" t="s">
        <v>1218</v>
      </c>
      <c r="E15" s="644" t="s">
        <v>1081</v>
      </c>
    </row>
    <row r="16" spans="1:12" s="644" customFormat="1" ht="23.25" customHeight="1" x14ac:dyDescent="0.2">
      <c r="A16" s="568" t="s">
        <v>1080</v>
      </c>
      <c r="B16" s="645">
        <f>'t14'!D13</f>
        <v>0</v>
      </c>
      <c r="C16" s="718"/>
      <c r="D16" s="1343"/>
      <c r="E16" s="644" t="s">
        <v>1082</v>
      </c>
    </row>
    <row r="17" spans="1:6" s="644" customFormat="1" ht="23.25" hidden="1" customHeight="1" x14ac:dyDescent="0.2">
      <c r="A17" s="568" t="s">
        <v>2</v>
      </c>
      <c r="B17" s="645">
        <f>'t14'!D14</f>
        <v>0</v>
      </c>
      <c r="C17" s="1338"/>
      <c r="D17" s="1344"/>
      <c r="E17" s="644" t="s">
        <v>3</v>
      </c>
    </row>
    <row r="18" spans="1:6" ht="23.25" hidden="1" customHeight="1" x14ac:dyDescent="0.2">
      <c r="A18" s="568" t="s">
        <v>92</v>
      </c>
      <c r="B18" s="645">
        <f>'t14'!D15</f>
        <v>110</v>
      </c>
      <c r="C18" s="1338"/>
      <c r="D18" s="1344"/>
      <c r="E18" t="s">
        <v>160</v>
      </c>
    </row>
    <row r="19" spans="1:6" s="3" customFormat="1" ht="23.25" customHeight="1" x14ac:dyDescent="0.2">
      <c r="A19" s="568" t="s">
        <v>550</v>
      </c>
      <c r="B19" s="645">
        <f>'t14'!D16</f>
        <v>0</v>
      </c>
      <c r="C19" s="718"/>
      <c r="D19" s="1343"/>
      <c r="E19" s="3" t="s">
        <v>143</v>
      </c>
    </row>
    <row r="20" spans="1:6" ht="23.25" hidden="1" customHeight="1" x14ac:dyDescent="0.2">
      <c r="A20" s="568" t="s">
        <v>358</v>
      </c>
      <c r="B20" s="645">
        <f>'t14'!D17</f>
        <v>0</v>
      </c>
      <c r="C20" s="1338"/>
      <c r="D20" s="1344"/>
      <c r="E20" s="644" t="s">
        <v>144</v>
      </c>
    </row>
    <row r="21" spans="1:6" ht="23.25" hidden="1" customHeight="1" x14ac:dyDescent="0.2">
      <c r="A21" s="568" t="s">
        <v>133</v>
      </c>
      <c r="B21" s="645">
        <f>'t14'!D18</f>
        <v>0</v>
      </c>
      <c r="C21" s="1338"/>
      <c r="D21" s="1344"/>
      <c r="E21" s="644" t="s">
        <v>152</v>
      </c>
    </row>
    <row r="22" spans="1:6" ht="23.25" customHeight="1" x14ac:dyDescent="0.2">
      <c r="A22" s="568" t="s">
        <v>556</v>
      </c>
      <c r="B22" s="645">
        <f>'t14'!D19</f>
        <v>0</v>
      </c>
      <c r="C22" s="718"/>
      <c r="D22" s="1343"/>
      <c r="E22" s="644" t="s">
        <v>555</v>
      </c>
    </row>
    <row r="23" spans="1:6" ht="23.25" customHeight="1" x14ac:dyDescent="0.2">
      <c r="A23" s="568" t="s">
        <v>534</v>
      </c>
      <c r="B23" s="645">
        <f>'t14'!D20</f>
        <v>4412</v>
      </c>
      <c r="C23" s="718"/>
      <c r="D23" s="1343" t="s">
        <v>1219</v>
      </c>
      <c r="E23" s="644" t="s">
        <v>148</v>
      </c>
    </row>
    <row r="24" spans="1:6" ht="23.25" customHeight="1" x14ac:dyDescent="0.2">
      <c r="A24" s="568" t="s">
        <v>551</v>
      </c>
      <c r="B24" s="645">
        <f>'t14'!D21</f>
        <v>1639</v>
      </c>
      <c r="C24" s="718">
        <v>1539</v>
      </c>
      <c r="D24" s="1343" t="s">
        <v>1221</v>
      </c>
      <c r="E24" s="644" t="s">
        <v>149</v>
      </c>
    </row>
    <row r="25" spans="1:6" ht="23.25" customHeight="1" x14ac:dyDescent="0.2">
      <c r="A25" s="568" t="s">
        <v>535</v>
      </c>
      <c r="B25" s="645">
        <f>'t14'!D22</f>
        <v>1457</v>
      </c>
      <c r="C25" s="718">
        <v>452</v>
      </c>
      <c r="D25" s="1343" t="s">
        <v>1220</v>
      </c>
      <c r="E25" s="644" t="s">
        <v>150</v>
      </c>
    </row>
    <row r="26" spans="1:6" ht="23.25" customHeight="1" x14ac:dyDescent="0.2">
      <c r="A26" s="648" t="s">
        <v>552</v>
      </c>
      <c r="B26" s="645">
        <f>'t14'!D24</f>
        <v>0</v>
      </c>
      <c r="C26" s="718"/>
      <c r="D26" s="1343"/>
      <c r="E26" s="644" t="s">
        <v>147</v>
      </c>
    </row>
    <row r="27" spans="1:6" ht="23.25" customHeight="1" thickBot="1" x14ac:dyDescent="0.25">
      <c r="A27" s="569" t="s">
        <v>536</v>
      </c>
      <c r="B27" s="649">
        <f>'t14'!D25+'t14'!D26</f>
        <v>0</v>
      </c>
      <c r="C27" s="826"/>
      <c r="D27" s="827"/>
      <c r="E27" s="644" t="s">
        <v>537</v>
      </c>
    </row>
    <row r="28" spans="1:6" ht="16.149999999999999" customHeight="1" thickBot="1" x14ac:dyDescent="0.2">
      <c r="A28" s="650" t="s">
        <v>538</v>
      </c>
      <c r="B28" s="651">
        <f>SUM(B4:B27)</f>
        <v>27048</v>
      </c>
      <c r="C28" s="651">
        <f>SUM(C4:C27)</f>
        <v>28772</v>
      </c>
      <c r="D28" s="652"/>
      <c r="E28" s="644" t="s">
        <v>531</v>
      </c>
    </row>
    <row r="29" spans="1:6" ht="16.149999999999999" customHeight="1" x14ac:dyDescent="0.15">
      <c r="A29" s="653"/>
      <c r="B29" s="653"/>
      <c r="C29" s="653"/>
      <c r="D29" s="654"/>
      <c r="E29" s="644" t="s">
        <v>531</v>
      </c>
    </row>
    <row r="30" spans="1:6" ht="23.25" customHeight="1" thickBot="1" x14ac:dyDescent="0.25">
      <c r="A30" s="655" t="s">
        <v>539</v>
      </c>
      <c r="B30" s="645">
        <f>'t14'!D27+'t14'!D28+'t14'!D29</f>
        <v>0</v>
      </c>
      <c r="C30" s="719"/>
      <c r="D30" s="720"/>
      <c r="E30" s="644" t="s">
        <v>540</v>
      </c>
    </row>
    <row r="31" spans="1:6" ht="16.149999999999999" customHeight="1" thickBot="1" x14ac:dyDescent="0.2">
      <c r="A31" s="650" t="s">
        <v>541</v>
      </c>
      <c r="B31" s="651">
        <f>B28-B30</f>
        <v>27048</v>
      </c>
      <c r="C31" s="651">
        <f>C28-C30</f>
        <v>28772</v>
      </c>
      <c r="D31" s="656"/>
      <c r="E31" s="657"/>
    </row>
    <row r="32" spans="1:6" x14ac:dyDescent="0.15">
      <c r="F32" s="658">
        <f>IF(AND(C28=0,C30=0,D4="",D7="",D8="",D9="",D10="",D11="",D12="",D13="",D14="",D15="",D16="",D17="",D18="",D19="",D20="",D21="",D23="",D24="",D25="",D26="",D27="",D30=""),0,1)</f>
        <v>1</v>
      </c>
    </row>
    <row r="33" spans="1:1" x14ac:dyDescent="0.15">
      <c r="A33" t="s">
        <v>168</v>
      </c>
    </row>
  </sheetData>
  <sheetProtection algorithmName="SHA-512" hashValue="4bFEZgbxpwiY+KUrlP2UaI/M447R4BkXczmxSg4Swq32KmK3QcOzQ1YPQ5bv0vPXEMei5AV0kQf55Y/RbSz6/Q==" saltValue="0Pbr7fdht+Q45LtC23Yd5g==" spinCount="100000" sheet="1" formatColumns="0" selectLockedCells="1"/>
  <mergeCells count="4">
    <mergeCell ref="A1:D1"/>
    <mergeCell ref="A2:D2"/>
    <mergeCell ref="C4:C6"/>
    <mergeCell ref="D4:D6"/>
  </mergeCells>
  <dataValidations count="3">
    <dataValidation type="whole" allowBlank="1" showInputMessage="1" showErrorMessage="1" errorTitle="ERRORE NEL DATO IMMESSO" error="INSERIRE SOLO NUMERI INTERI" sqref="C30 C4:C9 C15:C16 C19 C22:C27 C13" xr:uid="{00000000-0002-0000-1C00-000000000000}">
      <formula1>0</formula1>
      <formula2>99999999999999900000</formula2>
    </dataValidation>
    <dataValidation type="textLength" allowBlank="1" showInputMessage="1" showErrorMessage="1" errorTitle="ATTENZIONE ! ! !" error="E' stato superato il limite di 500 caratteri" sqref="D27 D30" xr:uid="{00000000-0002-0000-1C00-000001000000}">
      <formula1>0</formula1>
      <formula2>500</formula2>
    </dataValidation>
    <dataValidation type="textLength" allowBlank="1" showInputMessage="1" showErrorMessage="1" errorTitle="ATTENZIONE ! ! ! " error="E' stato superato il limite di 500 caratteri" sqref="D4:D9 D15:D16 D19 D22:D26 D13" xr:uid="{00000000-0002-0000-1C00-000002000000}">
      <formula1>0</formula1>
      <formula2>500</formula2>
    </dataValidation>
  </dataValidations>
  <pageMargins left="0.7" right="0.7" top="0.75" bottom="0.75" header="0.3" footer="0.3"/>
  <pageSetup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oglio36">
    <tabColor rgb="FFCC0099"/>
  </sheetPr>
  <dimension ref="A1:Y24"/>
  <sheetViews>
    <sheetView showGridLines="0" workbookViewId="0">
      <pane xSplit="2" ySplit="5" topLeftCell="K6" activePane="bottomRight" state="frozen"/>
      <selection activeCell="A2" sqref="A2"/>
      <selection pane="topRight" activeCell="A2" sqref="A2"/>
      <selection pane="bottomLeft" activeCell="A2" sqref="A2"/>
      <selection pane="bottomRight" activeCell="B4" sqref="B4"/>
    </sheetView>
  </sheetViews>
  <sheetFormatPr defaultRowHeight="11.25" x14ac:dyDescent="0.2"/>
  <cols>
    <col min="1" max="1" width="52" style="3" customWidth="1"/>
    <col min="2" max="2" width="10" style="2" customWidth="1"/>
    <col min="3" max="5" width="10.6640625" style="2" customWidth="1"/>
    <col min="6" max="8" width="11.6640625" style="2" customWidth="1"/>
    <col min="9" max="15" width="13.6640625" style="2" customWidth="1"/>
    <col min="16" max="20" width="14.6640625" style="2" customWidth="1"/>
    <col min="21" max="21" width="9.33203125" style="95" customWidth="1"/>
  </cols>
  <sheetData>
    <row r="1" spans="1:24" s="3" customFormat="1" ht="43.5" customHeight="1" x14ac:dyDescent="0.2">
      <c r="A1" s="1447" t="str">
        <f>'t1'!A1</f>
        <v>ENTI PUBBLICI NON ECONOMICI - anno 2024</v>
      </c>
      <c r="B1" s="1447"/>
      <c r="C1" s="1447"/>
      <c r="D1" s="1447"/>
      <c r="E1" s="1447"/>
      <c r="F1" s="1447"/>
      <c r="G1" s="1447"/>
      <c r="H1" s="1447"/>
      <c r="I1" s="1447"/>
      <c r="J1" s="318"/>
      <c r="K1" s="318"/>
      <c r="L1" s="318"/>
      <c r="M1" s="318"/>
      <c r="N1" s="318"/>
      <c r="O1" s="318"/>
      <c r="P1" s="318"/>
      <c r="Q1" s="318"/>
      <c r="R1" s="318"/>
      <c r="S1" s="318"/>
      <c r="T1" s="318"/>
      <c r="X1"/>
    </row>
    <row r="2" spans="1:24" s="3" customFormat="1" ht="21" customHeight="1" x14ac:dyDescent="0.2">
      <c r="I2" s="512"/>
      <c r="J2" s="512"/>
      <c r="K2" s="512"/>
      <c r="L2" s="512"/>
      <c r="M2" s="512"/>
      <c r="N2" s="512"/>
      <c r="O2" s="512"/>
      <c r="P2" s="512"/>
      <c r="Q2" s="512"/>
      <c r="R2" s="512"/>
      <c r="S2" s="512"/>
      <c r="T2" s="512"/>
      <c r="U2" s="289"/>
      <c r="X2"/>
    </row>
    <row r="3" spans="1:24" s="3" customFormat="1" ht="21" customHeight="1" x14ac:dyDescent="0.25">
      <c r="A3" s="173" t="s">
        <v>312</v>
      </c>
      <c r="B3" s="2"/>
      <c r="C3" s="2"/>
      <c r="D3" s="2"/>
    </row>
    <row r="4" spans="1:24" s="3" customFormat="1" ht="21" customHeight="1" x14ac:dyDescent="0.25">
      <c r="A4" s="173"/>
      <c r="B4" s="2"/>
      <c r="C4" s="2"/>
      <c r="D4" s="2"/>
      <c r="F4" s="1573" t="s">
        <v>313</v>
      </c>
      <c r="G4" s="1574"/>
      <c r="H4" s="1575"/>
      <c r="I4" s="1573" t="s">
        <v>401</v>
      </c>
      <c r="J4" s="1574"/>
      <c r="K4" s="1574"/>
      <c r="L4" s="1574"/>
      <c r="M4" s="1574"/>
      <c r="N4" s="1574"/>
      <c r="O4" s="1575"/>
      <c r="P4" s="1573" t="s">
        <v>402</v>
      </c>
      <c r="Q4" s="1574"/>
      <c r="R4" s="1574"/>
      <c r="S4" s="1574"/>
      <c r="T4" s="1575"/>
    </row>
    <row r="5" spans="1:24" ht="63" x14ac:dyDescent="0.15">
      <c r="A5" s="513" t="s">
        <v>218</v>
      </c>
      <c r="B5" s="514" t="s">
        <v>180</v>
      </c>
      <c r="C5" s="515" t="str">
        <f>"presenti al 31/12/"&amp;'t1'!L1&amp;" (tab.1)"</f>
        <v>presenti al 31/12/2024 (tab.1)</v>
      </c>
      <c r="D5" s="515" t="s">
        <v>10</v>
      </c>
      <c r="E5" s="514" t="s">
        <v>314</v>
      </c>
      <c r="F5" s="516" t="str">
        <f>'t11'!C4</f>
        <v>FERIE</v>
      </c>
      <c r="G5" s="516" t="s">
        <v>315</v>
      </c>
      <c r="H5" s="516" t="s">
        <v>316</v>
      </c>
      <c r="I5" s="516" t="s">
        <v>711</v>
      </c>
      <c r="J5" s="516" t="str">
        <f>'t12'!E4</f>
        <v>R.I.A.</v>
      </c>
      <c r="K5" s="516" t="str">
        <f>'t12'!G4</f>
        <v xml:space="preserve">PROGRESSIONI CLASSI E SCATTI/FASCE/DIFFERENZIALI STIPENDIALI  </v>
      </c>
      <c r="L5" s="516" t="str">
        <f>'t12'!H4</f>
        <v>TREDICESIMA MENSILTA'</v>
      </c>
      <c r="M5" s="517" t="s">
        <v>317</v>
      </c>
      <c r="N5" s="518" t="str">
        <f>'t12'!I4</f>
        <v>ARRETRATI  ANNI PRECEDENTI</v>
      </c>
      <c r="O5" s="518" t="str">
        <f>'t12'!J4</f>
        <v>RECUPERI DERIVANTI DA ASSENZE, RITARDI, ECC.</v>
      </c>
      <c r="P5" s="516" t="s">
        <v>286</v>
      </c>
      <c r="Q5" s="516" t="s">
        <v>318</v>
      </c>
      <c r="R5" s="516" t="s">
        <v>319</v>
      </c>
      <c r="S5" s="517" t="s">
        <v>320</v>
      </c>
      <c r="T5" s="518" t="str">
        <f>'t13'!S4</f>
        <v>ARRETRATI ANNI PRECEDENTI</v>
      </c>
    </row>
    <row r="6" spans="1:24" x14ac:dyDescent="0.2">
      <c r="A6" s="118" t="str">
        <f>'t1'!A6</f>
        <v>DIRETTORE GENERALE</v>
      </c>
      <c r="B6" s="92" t="str">
        <f>'t1'!B6</f>
        <v>0D0097</v>
      </c>
      <c r="C6" s="519">
        <f>'t1'!K6+'t1'!L6</f>
        <v>0</v>
      </c>
      <c r="D6" s="519">
        <f>('t1'!K6+'t1'!L6)-SUM('t3'!C6:F6,'t3'!I6:J6)+SUM('t3'!K6:N6)</f>
        <v>0</v>
      </c>
      <c r="E6" s="520">
        <f>'t12'!C6/12</f>
        <v>0</v>
      </c>
      <c r="F6" s="520" t="str">
        <f>IF($D6&gt;0,(('t11'!C8+'t11'!D8)/$D6)," ")</f>
        <v xml:space="preserve"> </v>
      </c>
      <c r="G6" s="520" t="str">
        <f>IF($D6&gt;0,(SUM('t11'!E8:P8)/$D6)," ")</f>
        <v xml:space="preserve"> </v>
      </c>
      <c r="H6" s="520" t="str">
        <f>IF($D6&gt;0,(SUM('t11'!Q8:T8)/$D6)," ")</f>
        <v xml:space="preserve"> </v>
      </c>
      <c r="I6" s="521" t="str">
        <f>IF($E6=0," ",('t12'!D6)/$E6)</f>
        <v xml:space="preserve"> </v>
      </c>
      <c r="J6" s="521" t="str">
        <f>IF($E6=0," ",'t12'!E6/$E6)</f>
        <v xml:space="preserve"> </v>
      </c>
      <c r="K6" s="521" t="str">
        <f>IF($E6=0," ",'t12'!F6/$E6)</f>
        <v xml:space="preserve"> </v>
      </c>
      <c r="L6" s="521" t="str">
        <f>IF($E6=0," ",'t12'!H6/$E6)</f>
        <v xml:space="preserve"> </v>
      </c>
      <c r="M6" s="522">
        <f>SUM(I6:L6)</f>
        <v>0</v>
      </c>
      <c r="N6" s="523" t="str">
        <f>IF($E6=0," ",'t12'!I6/$E6)</f>
        <v xml:space="preserve"> </v>
      </c>
      <c r="O6" s="523" t="str">
        <f>IF($E6=0," ",'t12'!J6/$E6)</f>
        <v xml:space="preserve"> </v>
      </c>
      <c r="P6" s="521" t="str">
        <f>IF($E6=0," ",'t13'!U6/$E6)</f>
        <v xml:space="preserve"> </v>
      </c>
      <c r="Q6" s="521" t="str">
        <f>IF($E6=0," ",SUM('t13'!C6:J6)/$E6)</f>
        <v xml:space="preserve"> </v>
      </c>
      <c r="R6" s="521" t="str">
        <f>IF($E6=0," ",(SUM('t13'!K6:R6)+'t13'!T6)/$E6)</f>
        <v xml:space="preserve"> </v>
      </c>
      <c r="S6" s="522">
        <f>SUM(P6:R6)</f>
        <v>0</v>
      </c>
      <c r="T6" s="523" t="str">
        <f>IF($E6=0," ",'t13'!S6/$E6)</f>
        <v xml:space="preserve"> </v>
      </c>
    </row>
    <row r="7" spans="1:24" x14ac:dyDescent="0.2">
      <c r="A7" s="118" t="str">
        <f>'t1'!A7</f>
        <v>DIRIGENTE I FASCIA</v>
      </c>
      <c r="B7" s="92" t="str">
        <f>'t1'!B7</f>
        <v>0D0077</v>
      </c>
      <c r="C7" s="519">
        <f>'t1'!K7+'t1'!L7</f>
        <v>0</v>
      </c>
      <c r="D7" s="519">
        <f>('t1'!K7+'t1'!L7)-SUM('t3'!C7:F7,'t3'!I7:J7)+SUM('t3'!K7:N7)</f>
        <v>0</v>
      </c>
      <c r="E7" s="520">
        <f>'t12'!C7/12</f>
        <v>0</v>
      </c>
      <c r="F7" s="520" t="str">
        <f>IF($D7&gt;0,(('t11'!C9+'t11'!D9)/$D7)," ")</f>
        <v xml:space="preserve"> </v>
      </c>
      <c r="G7" s="520" t="str">
        <f>IF($D7&gt;0,(SUM('t11'!E9:P9)/$D7)," ")</f>
        <v xml:space="preserve"> </v>
      </c>
      <c r="H7" s="520" t="str">
        <f>IF($D7&gt;0,(SUM('t11'!Q9:T9)/$D7)," ")</f>
        <v xml:space="preserve"> </v>
      </c>
      <c r="I7" s="521" t="str">
        <f>IF($E7=0," ",('t12'!D7)/$E7)</f>
        <v xml:space="preserve"> </v>
      </c>
      <c r="J7" s="521" t="str">
        <f>IF($E7=0," ",'t12'!E7/$E7)</f>
        <v xml:space="preserve"> </v>
      </c>
      <c r="K7" s="521" t="str">
        <f>IF($E7=0," ",'t12'!F7/$E7)</f>
        <v xml:space="preserve"> </v>
      </c>
      <c r="L7" s="521" t="str">
        <f>IF($E7=0," ",'t12'!H7/$E7)</f>
        <v xml:space="preserve"> </v>
      </c>
      <c r="M7" s="522">
        <f t="shared" ref="M7:M16" si="0">SUM(I7:L7)</f>
        <v>0</v>
      </c>
      <c r="N7" s="523" t="str">
        <f>IF($E7=0," ",'t12'!I7/$E7)</f>
        <v xml:space="preserve"> </v>
      </c>
      <c r="O7" s="523" t="str">
        <f>IF($E7=0," ",'t12'!J7/$E7)</f>
        <v xml:space="preserve"> </v>
      </c>
      <c r="P7" s="521" t="str">
        <f>IF($E7=0," ",'t13'!U7/$E7)</f>
        <v xml:space="preserve"> </v>
      </c>
      <c r="Q7" s="521" t="str">
        <f>IF($E7=0," ",SUM('t13'!C7:J7)/$E7)</f>
        <v xml:space="preserve"> </v>
      </c>
      <c r="R7" s="521" t="str">
        <f>IF($E7=0," ",(SUM('t13'!K7:R7)+'t13'!T7)/$E7)</f>
        <v xml:space="preserve"> </v>
      </c>
      <c r="S7" s="522">
        <f t="shared" ref="S7:S16" si="1">SUM(P7:R7)</f>
        <v>0</v>
      </c>
      <c r="T7" s="523" t="str">
        <f>IF($E7=0," ",'t13'!S7/$E7)</f>
        <v xml:space="preserve"> </v>
      </c>
    </row>
    <row r="8" spans="1:24" x14ac:dyDescent="0.2">
      <c r="A8" s="118" t="str">
        <f>'t1'!A8</f>
        <v>DIRIGENTE I FASCIA A TEMPO DETERM.</v>
      </c>
      <c r="B8" s="92" t="str">
        <f>'t1'!B8</f>
        <v>0D0078</v>
      </c>
      <c r="C8" s="519">
        <f>'t1'!K8+'t1'!L8</f>
        <v>0</v>
      </c>
      <c r="D8" s="519">
        <f>('t1'!K8+'t1'!L8)-SUM('t3'!C8:F8,'t3'!I8:J8)+SUM('t3'!K8:N8)</f>
        <v>0</v>
      </c>
      <c r="E8" s="520">
        <f>'t12'!C8/12</f>
        <v>0</v>
      </c>
      <c r="F8" s="520" t="str">
        <f>IF($D8&gt;0,(('t11'!C10+'t11'!D10)/$D8)," ")</f>
        <v xml:space="preserve"> </v>
      </c>
      <c r="G8" s="520" t="str">
        <f>IF($D8&gt;0,(SUM('t11'!E10:P10)/$D8)," ")</f>
        <v xml:space="preserve"> </v>
      </c>
      <c r="H8" s="520" t="str">
        <f>IF($D8&gt;0,(SUM('t11'!Q10:T10)/$D8)," ")</f>
        <v xml:space="preserve"> </v>
      </c>
      <c r="I8" s="521" t="str">
        <f>IF($E8=0," ",('t12'!D8)/$E8)</f>
        <v xml:space="preserve"> </v>
      </c>
      <c r="J8" s="521" t="str">
        <f>IF($E8=0," ",'t12'!E8/$E8)</f>
        <v xml:space="preserve"> </v>
      </c>
      <c r="K8" s="521" t="str">
        <f>IF($E8=0," ",'t12'!F8/$E8)</f>
        <v xml:space="preserve"> </v>
      </c>
      <c r="L8" s="521" t="str">
        <f>IF($E8=0," ",'t12'!H8/$E8)</f>
        <v xml:space="preserve"> </v>
      </c>
      <c r="M8" s="522">
        <f t="shared" si="0"/>
        <v>0</v>
      </c>
      <c r="N8" s="523" t="str">
        <f>IF($E8=0," ",'t12'!I8/$E8)</f>
        <v xml:space="preserve"> </v>
      </c>
      <c r="O8" s="523" t="str">
        <f>IF($E8=0," ",'t12'!J8/$E8)</f>
        <v xml:space="preserve"> </v>
      </c>
      <c r="P8" s="521" t="str">
        <f>IF($E8=0," ",'t13'!U8/$E8)</f>
        <v xml:space="preserve"> </v>
      </c>
      <c r="Q8" s="521" t="str">
        <f>IF($E8=0," ",SUM('t13'!C8:J8)/$E8)</f>
        <v xml:space="preserve"> </v>
      </c>
      <c r="R8" s="521" t="str">
        <f>IF($E8=0," ",(SUM('t13'!K8:R8)+'t13'!T8)/$E8)</f>
        <v xml:space="preserve"> </v>
      </c>
      <c r="S8" s="522">
        <f t="shared" si="1"/>
        <v>0</v>
      </c>
      <c r="T8" s="523" t="str">
        <f>IF($E8=0," ",'t13'!S8/$E8)</f>
        <v xml:space="preserve"> </v>
      </c>
    </row>
    <row r="9" spans="1:24" x14ac:dyDescent="0.2">
      <c r="A9" s="118" t="str">
        <f>'t1'!A9</f>
        <v>DIRIGENTE II FASCIA</v>
      </c>
      <c r="B9" s="92" t="str">
        <f>'t1'!B9</f>
        <v>0D0079</v>
      </c>
      <c r="C9" s="519">
        <f>'t1'!K9+'t1'!L9</f>
        <v>0</v>
      </c>
      <c r="D9" s="519">
        <f>('t1'!K9+'t1'!L9)-SUM('t3'!C9:F9,'t3'!I9:J9)+SUM('t3'!K9:N9)</f>
        <v>0</v>
      </c>
      <c r="E9" s="520">
        <f>'t12'!C9/12</f>
        <v>0</v>
      </c>
      <c r="F9" s="520" t="str">
        <f>IF($D9&gt;0,(('t11'!C11+'t11'!D11)/$D9)," ")</f>
        <v xml:space="preserve"> </v>
      </c>
      <c r="G9" s="520" t="str">
        <f>IF($D9&gt;0,(SUM('t11'!E11:P11)/$D9)," ")</f>
        <v xml:space="preserve"> </v>
      </c>
      <c r="H9" s="520" t="str">
        <f>IF($D9&gt;0,(SUM('t11'!Q11:T11)/$D9)," ")</f>
        <v xml:space="preserve"> </v>
      </c>
      <c r="I9" s="521" t="str">
        <f>IF($E9=0," ",('t12'!D9)/$E9)</f>
        <v xml:space="preserve"> </v>
      </c>
      <c r="J9" s="521" t="str">
        <f>IF($E9=0," ",'t12'!E9/$E9)</f>
        <v xml:space="preserve"> </v>
      </c>
      <c r="K9" s="521" t="str">
        <f>IF($E9=0," ",'t12'!F9/$E9)</f>
        <v xml:space="preserve"> </v>
      </c>
      <c r="L9" s="521" t="str">
        <f>IF($E9=0," ",'t12'!H9/$E9)</f>
        <v xml:space="preserve"> </v>
      </c>
      <c r="M9" s="522">
        <f t="shared" si="0"/>
        <v>0</v>
      </c>
      <c r="N9" s="523" t="str">
        <f>IF($E9=0," ",'t12'!I9/$E9)</f>
        <v xml:space="preserve"> </v>
      </c>
      <c r="O9" s="523" t="str">
        <f>IF($E9=0," ",'t12'!J9/$E9)</f>
        <v xml:space="preserve"> </v>
      </c>
      <c r="P9" s="521" t="str">
        <f>IF($E9=0," ",'t13'!U9/$E9)</f>
        <v xml:space="preserve"> </v>
      </c>
      <c r="Q9" s="521" t="str">
        <f>IF($E9=0," ",SUM('t13'!C9:J9)/$E9)</f>
        <v xml:space="preserve"> </v>
      </c>
      <c r="R9" s="521" t="str">
        <f>IF($E9=0," ",(SUM('t13'!K9:R9)+'t13'!T9)/$E9)</f>
        <v xml:space="preserve"> </v>
      </c>
      <c r="S9" s="522">
        <f t="shared" si="1"/>
        <v>0</v>
      </c>
      <c r="T9" s="523" t="str">
        <f>IF($E9=0," ",'t13'!S9/$E9)</f>
        <v xml:space="preserve"> </v>
      </c>
    </row>
    <row r="10" spans="1:24" x14ac:dyDescent="0.2">
      <c r="A10" s="118" t="str">
        <f>'t1'!A10</f>
        <v>DIRIGENTE II FASCIA A TEMPO DETERM.</v>
      </c>
      <c r="B10" s="92" t="str">
        <f>'t1'!B10</f>
        <v>0D0080</v>
      </c>
      <c r="C10" s="519">
        <f>'t1'!K10+'t1'!L10</f>
        <v>0</v>
      </c>
      <c r="D10" s="519">
        <f>('t1'!K10+'t1'!L10)-SUM('t3'!C10:F10,'t3'!I10:J10)+SUM('t3'!K10:N10)</f>
        <v>0</v>
      </c>
      <c r="E10" s="520">
        <f>'t12'!C10/12</f>
        <v>0</v>
      </c>
      <c r="F10" s="520" t="str">
        <f>IF($D10&gt;0,(('t11'!C12+'t11'!D12)/$D10)," ")</f>
        <v xml:space="preserve"> </v>
      </c>
      <c r="G10" s="520" t="str">
        <f>IF($D10&gt;0,(SUM('t11'!E12:P12)/$D10)," ")</f>
        <v xml:space="preserve"> </v>
      </c>
      <c r="H10" s="520" t="str">
        <f>IF($D10&gt;0,(SUM('t11'!Q12:T12)/$D10)," ")</f>
        <v xml:space="preserve"> </v>
      </c>
      <c r="I10" s="521" t="str">
        <f>IF($E10=0," ",('t12'!D10)/$E10)</f>
        <v xml:space="preserve"> </v>
      </c>
      <c r="J10" s="521" t="str">
        <f>IF($E10=0," ",'t12'!E10/$E10)</f>
        <v xml:space="preserve"> </v>
      </c>
      <c r="K10" s="521" t="str">
        <f>IF($E10=0," ",'t12'!F10/$E10)</f>
        <v xml:space="preserve"> </v>
      </c>
      <c r="L10" s="521" t="str">
        <f>IF($E10=0," ",'t12'!H10/$E10)</f>
        <v xml:space="preserve"> </v>
      </c>
      <c r="M10" s="522">
        <f t="shared" si="0"/>
        <v>0</v>
      </c>
      <c r="N10" s="523" t="str">
        <f>IF($E10=0," ",'t12'!I10/$E10)</f>
        <v xml:space="preserve"> </v>
      </c>
      <c r="O10" s="523" t="str">
        <f>IF($E10=0," ",'t12'!J10/$E10)</f>
        <v xml:space="preserve"> </v>
      </c>
      <c r="P10" s="521" t="str">
        <f>IF($E10=0," ",'t13'!U10/$E10)</f>
        <v xml:space="preserve"> </v>
      </c>
      <c r="Q10" s="521" t="str">
        <f>IF($E10=0," ",SUM('t13'!C10:J10)/$E10)</f>
        <v xml:space="preserve"> </v>
      </c>
      <c r="R10" s="521" t="str">
        <f>IF($E10=0," ",(SUM('t13'!K10:R10)+'t13'!T10)/$E10)</f>
        <v xml:space="preserve"> </v>
      </c>
      <c r="S10" s="522">
        <f t="shared" si="1"/>
        <v>0</v>
      </c>
      <c r="T10" s="523" t="str">
        <f>IF($E10=0," ",'t13'!S10/$E10)</f>
        <v xml:space="preserve"> </v>
      </c>
    </row>
    <row r="11" spans="1:24" x14ac:dyDescent="0.2">
      <c r="A11" s="118" t="str">
        <f>'t1'!A11</f>
        <v>MEDICO II FASCIA T.P.</v>
      </c>
      <c r="B11" s="92" t="str">
        <f>'t1'!B11</f>
        <v>0D0584</v>
      </c>
      <c r="C11" s="519">
        <f>'t1'!K11+'t1'!L11</f>
        <v>0</v>
      </c>
      <c r="D11" s="519">
        <f>('t1'!K11+'t1'!L11)-SUM('t3'!C11:F11,'t3'!I11:J11)+SUM('t3'!K11:N11)</f>
        <v>0</v>
      </c>
      <c r="E11" s="520">
        <f>'t12'!C11/12</f>
        <v>0</v>
      </c>
      <c r="F11" s="520" t="str">
        <f>IF($D11&gt;0,(('t11'!C13+'t11'!D13)/$D11)," ")</f>
        <v xml:space="preserve"> </v>
      </c>
      <c r="G11" s="520" t="str">
        <f>IF($D11&gt;0,(SUM('t11'!E13:P13)/$D11)," ")</f>
        <v xml:space="preserve"> </v>
      </c>
      <c r="H11" s="520" t="str">
        <f>IF($D11&gt;0,(SUM('t11'!Q13:T13)/$D11)," ")</f>
        <v xml:space="preserve"> </v>
      </c>
      <c r="I11" s="521" t="str">
        <f>IF($E11=0," ",('t12'!D11)/$E11)</f>
        <v xml:space="preserve"> </v>
      </c>
      <c r="J11" s="521" t="str">
        <f>IF($E11=0," ",'t12'!E11/$E11)</f>
        <v xml:space="preserve"> </v>
      </c>
      <c r="K11" s="521" t="str">
        <f>IF($E11=0," ",'t12'!F11/$E11)</f>
        <v xml:space="preserve"> </v>
      </c>
      <c r="L11" s="521" t="str">
        <f>IF($E11=0," ",'t12'!H11/$E11)</f>
        <v xml:space="preserve"> </v>
      </c>
      <c r="M11" s="522">
        <f t="shared" si="0"/>
        <v>0</v>
      </c>
      <c r="N11" s="523" t="str">
        <f>IF($E11=0," ",'t12'!I11/$E11)</f>
        <v xml:space="preserve"> </v>
      </c>
      <c r="O11" s="523" t="str">
        <f>IF($E11=0," ",'t12'!J11/$E11)</f>
        <v xml:space="preserve"> </v>
      </c>
      <c r="P11" s="521" t="str">
        <f>IF($E11=0," ",'t13'!U11/$E11)</f>
        <v xml:space="preserve"> </v>
      </c>
      <c r="Q11" s="521" t="str">
        <f>IF($E11=0," ",SUM('t13'!C11:J11)/$E11)</f>
        <v xml:space="preserve"> </v>
      </c>
      <c r="R11" s="521" t="str">
        <f>IF($E11=0," ",(SUM('t13'!K11:R11)+'t13'!T11)/$E11)</f>
        <v xml:space="preserve"> </v>
      </c>
      <c r="S11" s="522">
        <f t="shared" si="1"/>
        <v>0</v>
      </c>
      <c r="T11" s="523" t="str">
        <f>IF($E11=0," ",'t13'!S11/$E11)</f>
        <v xml:space="preserve"> </v>
      </c>
    </row>
    <row r="12" spans="1:24" x14ac:dyDescent="0.2">
      <c r="A12" s="118" t="str">
        <f>'t1'!A12</f>
        <v>MEDICO I FASCIA T.P.</v>
      </c>
      <c r="B12" s="92" t="str">
        <f>'t1'!B12</f>
        <v>0D0585</v>
      </c>
      <c r="C12" s="519">
        <f>'t1'!K12+'t1'!L12</f>
        <v>0</v>
      </c>
      <c r="D12" s="519">
        <f>('t1'!K12+'t1'!L12)-SUM('t3'!C12:F12,'t3'!I12:J12)+SUM('t3'!K12:N12)</f>
        <v>0</v>
      </c>
      <c r="E12" s="520">
        <f>'t12'!C12/12</f>
        <v>0</v>
      </c>
      <c r="F12" s="520" t="str">
        <f>IF($D12&gt;0,(('t11'!C14+'t11'!D14)/$D12)," ")</f>
        <v xml:space="preserve"> </v>
      </c>
      <c r="G12" s="520" t="str">
        <f>IF($D12&gt;0,(SUM('t11'!E14:P14)/$D12)," ")</f>
        <v xml:space="preserve"> </v>
      </c>
      <c r="H12" s="520" t="str">
        <f>IF($D12&gt;0,(SUM('t11'!Q14:T14)/$D12)," ")</f>
        <v xml:space="preserve"> </v>
      </c>
      <c r="I12" s="521" t="str">
        <f>IF($E12=0," ",('t12'!D12)/$E12)</f>
        <v xml:space="preserve"> </v>
      </c>
      <c r="J12" s="521" t="str">
        <f>IF($E12=0," ",'t12'!E12/$E12)</f>
        <v xml:space="preserve"> </v>
      </c>
      <c r="K12" s="521" t="str">
        <f>IF($E12=0," ",'t12'!F12/$E12)</f>
        <v xml:space="preserve"> </v>
      </c>
      <c r="L12" s="521" t="str">
        <f>IF($E12=0," ",'t12'!H12/$E12)</f>
        <v xml:space="preserve"> </v>
      </c>
      <c r="M12" s="522">
        <f t="shared" si="0"/>
        <v>0</v>
      </c>
      <c r="N12" s="523" t="str">
        <f>IF($E12=0," ",'t12'!I12/$E12)</f>
        <v xml:space="preserve"> </v>
      </c>
      <c r="O12" s="523" t="str">
        <f>IF($E12=0," ",'t12'!J12/$E12)</f>
        <v xml:space="preserve"> </v>
      </c>
      <c r="P12" s="521" t="str">
        <f>IF($E12=0," ",'t13'!U12/$E12)</f>
        <v xml:space="preserve"> </v>
      </c>
      <c r="Q12" s="521" t="str">
        <f>IF($E12=0," ",SUM('t13'!C12:J12)/$E12)</f>
        <v xml:space="preserve"> </v>
      </c>
      <c r="R12" s="521" t="str">
        <f>IF($E12=0," ",(SUM('t13'!K12:R12)+'t13'!T12)/$E12)</f>
        <v xml:space="preserve"> </v>
      </c>
      <c r="S12" s="522">
        <f t="shared" si="1"/>
        <v>0</v>
      </c>
      <c r="T12" s="523" t="str">
        <f>IF($E12=0," ",'t13'!S12/$E12)</f>
        <v xml:space="preserve"> </v>
      </c>
    </row>
    <row r="13" spans="1:24" x14ac:dyDescent="0.2">
      <c r="A13" s="118" t="str">
        <f>'t1'!A13</f>
        <v>MEDICO II FASCIA T.D.</v>
      </c>
      <c r="B13" s="92" t="str">
        <f>'t1'!B13</f>
        <v>0D0586</v>
      </c>
      <c r="C13" s="519">
        <f>'t1'!K13+'t1'!L13</f>
        <v>0</v>
      </c>
      <c r="D13" s="519">
        <f>('t1'!K13+'t1'!L13)-SUM('t3'!C13:F13,'t3'!I13:J13)+SUM('t3'!K13:N13)</f>
        <v>0</v>
      </c>
      <c r="E13" s="520">
        <f>'t12'!C13/12</f>
        <v>0</v>
      </c>
      <c r="F13" s="520" t="str">
        <f>IF($D13&gt;0,(('t11'!C15+'t11'!D15)/$D13)," ")</f>
        <v xml:space="preserve"> </v>
      </c>
      <c r="G13" s="520" t="str">
        <f>IF($D13&gt;0,(SUM('t11'!E15:P15)/$D13)," ")</f>
        <v xml:space="preserve"> </v>
      </c>
      <c r="H13" s="520" t="str">
        <f>IF($D13&gt;0,(SUM('t11'!Q15:T15)/$D13)," ")</f>
        <v xml:space="preserve"> </v>
      </c>
      <c r="I13" s="521" t="str">
        <f>IF($E13=0," ",('t12'!D13)/$E13)</f>
        <v xml:space="preserve"> </v>
      </c>
      <c r="J13" s="521" t="str">
        <f>IF($E13=0," ",'t12'!E13/$E13)</f>
        <v xml:space="preserve"> </v>
      </c>
      <c r="K13" s="521" t="str">
        <f>IF($E13=0," ",'t12'!F13/$E13)</f>
        <v xml:space="preserve"> </v>
      </c>
      <c r="L13" s="521" t="str">
        <f>IF($E13=0," ",'t12'!H13/$E13)</f>
        <v xml:space="preserve"> </v>
      </c>
      <c r="M13" s="522">
        <f t="shared" si="0"/>
        <v>0</v>
      </c>
      <c r="N13" s="523" t="str">
        <f>IF($E13=0," ",'t12'!I13/$E13)</f>
        <v xml:space="preserve"> </v>
      </c>
      <c r="O13" s="523" t="str">
        <f>IF($E13=0," ",'t12'!J13/$E13)</f>
        <v xml:space="preserve"> </v>
      </c>
      <c r="P13" s="521" t="str">
        <f>IF($E13=0," ",'t13'!U13/$E13)</f>
        <v xml:space="preserve"> </v>
      </c>
      <c r="Q13" s="521" t="str">
        <f>IF($E13=0," ",SUM('t13'!C13:J13)/$E13)</f>
        <v xml:space="preserve"> </v>
      </c>
      <c r="R13" s="521" t="str">
        <f>IF($E13=0," ",(SUM('t13'!K13:R13)+'t13'!T13)/$E13)</f>
        <v xml:space="preserve"> </v>
      </c>
      <c r="S13" s="522">
        <f t="shared" si="1"/>
        <v>0</v>
      </c>
      <c r="T13" s="523" t="str">
        <f>IF($E13=0," ",'t13'!S13/$E13)</f>
        <v xml:space="preserve"> </v>
      </c>
    </row>
    <row r="14" spans="1:24" x14ac:dyDescent="0.2">
      <c r="A14" s="118" t="str">
        <f>'t1'!A14</f>
        <v>MEDICO I FASCIA T.D.</v>
      </c>
      <c r="B14" s="92" t="str">
        <f>'t1'!B14</f>
        <v>0D0496</v>
      </c>
      <c r="C14" s="519">
        <f>'t1'!K14+'t1'!L14</f>
        <v>0</v>
      </c>
      <c r="D14" s="519">
        <f>('t1'!K14+'t1'!L14)-SUM('t3'!C14:F14,'t3'!I14:J14)+SUM('t3'!K14:N14)</f>
        <v>0</v>
      </c>
      <c r="E14" s="520">
        <f>'t12'!C14/12</f>
        <v>0</v>
      </c>
      <c r="F14" s="520" t="str">
        <f>IF($D14&gt;0,(('t11'!C16+'t11'!D16)/$D14)," ")</f>
        <v xml:space="preserve"> </v>
      </c>
      <c r="G14" s="520" t="str">
        <f>IF($D14&gt;0,(SUM('t11'!E16:P16)/$D14)," ")</f>
        <v xml:space="preserve"> </v>
      </c>
      <c r="H14" s="520" t="str">
        <f>IF($D14&gt;0,(SUM('t11'!Q16:T16)/$D14)," ")</f>
        <v xml:space="preserve"> </v>
      </c>
      <c r="I14" s="521" t="str">
        <f>IF($E14=0," ",('t12'!D14)/$E14)</f>
        <v xml:space="preserve"> </v>
      </c>
      <c r="J14" s="521" t="str">
        <f>IF($E14=0," ",'t12'!E14/$E14)</f>
        <v xml:space="preserve"> </v>
      </c>
      <c r="K14" s="521" t="str">
        <f>IF($E14=0," ",'t12'!F14/$E14)</f>
        <v xml:space="preserve"> </v>
      </c>
      <c r="L14" s="521" t="str">
        <f>IF($E14=0," ",'t12'!H14/$E14)</f>
        <v xml:space="preserve"> </v>
      </c>
      <c r="M14" s="522">
        <f t="shared" si="0"/>
        <v>0</v>
      </c>
      <c r="N14" s="523" t="str">
        <f>IF($E14=0," ",'t12'!I14/$E14)</f>
        <v xml:space="preserve"> </v>
      </c>
      <c r="O14" s="523" t="str">
        <f>IF($E14=0," ",'t12'!J14/$E14)</f>
        <v xml:space="preserve"> </v>
      </c>
      <c r="P14" s="521" t="str">
        <f>IF($E14=0," ",'t13'!U14/$E14)</f>
        <v xml:space="preserve"> </v>
      </c>
      <c r="Q14" s="521" t="str">
        <f>IF($E14=0," ",SUM('t13'!C14:J14)/$E14)</f>
        <v xml:space="preserve"> </v>
      </c>
      <c r="R14" s="521" t="str">
        <f>IF($E14=0," ",(SUM('t13'!K14:R14)+'t13'!T14)/$E14)</f>
        <v xml:space="preserve"> </v>
      </c>
      <c r="S14" s="522">
        <f t="shared" si="1"/>
        <v>0</v>
      </c>
      <c r="T14" s="523" t="str">
        <f>IF($E14=0," ",'t13'!S14/$E14)</f>
        <v xml:space="preserve"> </v>
      </c>
    </row>
    <row r="15" spans="1:24" x14ac:dyDescent="0.2">
      <c r="A15" s="118" t="str">
        <f>'t1'!A15</f>
        <v>PROFESSIONISTI II LIVELLO</v>
      </c>
      <c r="B15" s="92" t="str">
        <f>'t1'!B15</f>
        <v>0D0PR2</v>
      </c>
      <c r="C15" s="519">
        <f>'t1'!K15+'t1'!L15</f>
        <v>0</v>
      </c>
      <c r="D15" s="519">
        <f>('t1'!K15+'t1'!L15)-SUM('t3'!C15:F15,'t3'!I15:J15)+SUM('t3'!K15:N15)</f>
        <v>0</v>
      </c>
      <c r="E15" s="520">
        <f>'t12'!C15/12</f>
        <v>0</v>
      </c>
      <c r="F15" s="520" t="str">
        <f>IF($D15&gt;0,(('t11'!C17+'t11'!D17)/$D15)," ")</f>
        <v xml:space="preserve"> </v>
      </c>
      <c r="G15" s="520" t="str">
        <f>IF($D15&gt;0,(SUM('t11'!E17:P17)/$D15)," ")</f>
        <v xml:space="preserve"> </v>
      </c>
      <c r="H15" s="520" t="str">
        <f>IF($D15&gt;0,(SUM('t11'!Q17:T17)/$D15)," ")</f>
        <v xml:space="preserve"> </v>
      </c>
      <c r="I15" s="521" t="str">
        <f>IF($E15=0," ",('t12'!D15)/$E15)</f>
        <v xml:space="preserve"> </v>
      </c>
      <c r="J15" s="521" t="str">
        <f>IF($E15=0," ",'t12'!E15/$E15)</f>
        <v xml:space="preserve"> </v>
      </c>
      <c r="K15" s="521" t="str">
        <f>IF($E15=0," ",'t12'!F15/$E15)</f>
        <v xml:space="preserve"> </v>
      </c>
      <c r="L15" s="521" t="str">
        <f>IF($E15=0," ",'t12'!H15/$E15)</f>
        <v xml:space="preserve"> </v>
      </c>
      <c r="M15" s="522">
        <f t="shared" si="0"/>
        <v>0</v>
      </c>
      <c r="N15" s="523" t="str">
        <f>IF($E15=0," ",'t12'!I15/$E15)</f>
        <v xml:space="preserve"> </v>
      </c>
      <c r="O15" s="523" t="str">
        <f>IF($E15=0," ",'t12'!J15/$E15)</f>
        <v xml:space="preserve"> </v>
      </c>
      <c r="P15" s="521" t="str">
        <f>IF($E15=0," ",'t13'!U15/$E15)</f>
        <v xml:space="preserve"> </v>
      </c>
      <c r="Q15" s="521" t="str">
        <f>IF($E15=0," ",SUM('t13'!C15:J15)/$E15)</f>
        <v xml:space="preserve"> </v>
      </c>
      <c r="R15" s="521" t="str">
        <f>IF($E15=0," ",(SUM('t13'!K15:R15)+'t13'!T15)/$E15)</f>
        <v xml:space="preserve"> </v>
      </c>
      <c r="S15" s="522">
        <f t="shared" si="1"/>
        <v>0</v>
      </c>
      <c r="T15" s="523" t="str">
        <f>IF($E15=0," ",'t13'!S15/$E15)</f>
        <v xml:space="preserve"> </v>
      </c>
    </row>
    <row r="16" spans="1:24" x14ac:dyDescent="0.2">
      <c r="A16" s="118" t="str">
        <f>'t1'!A16</f>
        <v>PROFESSIONISTI I LIVELLO</v>
      </c>
      <c r="B16" s="92" t="str">
        <f>'t1'!B16</f>
        <v>0D0PR1</v>
      </c>
      <c r="C16" s="519">
        <f>'t1'!K16+'t1'!L16</f>
        <v>0</v>
      </c>
      <c r="D16" s="519">
        <f>('t1'!K16+'t1'!L16)-SUM('t3'!C16:F16,'t3'!I16:J16)+SUM('t3'!K16:N16)</f>
        <v>0</v>
      </c>
      <c r="E16" s="520">
        <f>'t12'!C16/12</f>
        <v>0</v>
      </c>
      <c r="F16" s="520" t="str">
        <f>IF($D16&gt;0,(('t11'!C18+'t11'!D18)/$D16)," ")</f>
        <v xml:space="preserve"> </v>
      </c>
      <c r="G16" s="520" t="str">
        <f>IF($D16&gt;0,(SUM('t11'!E18:P18)/$D16)," ")</f>
        <v xml:space="preserve"> </v>
      </c>
      <c r="H16" s="520" t="str">
        <f>IF($D16&gt;0,(SUM('t11'!Q18:T18)/$D16)," ")</f>
        <v xml:space="preserve"> </v>
      </c>
      <c r="I16" s="521" t="str">
        <f>IF($E16=0," ",('t12'!D16)/$E16)</f>
        <v xml:space="preserve"> </v>
      </c>
      <c r="J16" s="521" t="str">
        <f>IF($E16=0," ",'t12'!E16/$E16)</f>
        <v xml:space="preserve"> </v>
      </c>
      <c r="K16" s="521" t="str">
        <f>IF($E16=0," ",'t12'!F16/$E16)</f>
        <v xml:space="preserve"> </v>
      </c>
      <c r="L16" s="521" t="str">
        <f>IF($E16=0," ",'t12'!H16/$E16)</f>
        <v xml:space="preserve"> </v>
      </c>
      <c r="M16" s="522">
        <f t="shared" si="0"/>
        <v>0</v>
      </c>
      <c r="N16" s="523" t="str">
        <f>IF($E16=0," ",'t12'!I16/$E16)</f>
        <v xml:space="preserve"> </v>
      </c>
      <c r="O16" s="523" t="str">
        <f>IF($E16=0," ",'t12'!J16/$E16)</f>
        <v xml:space="preserve"> </v>
      </c>
      <c r="P16" s="521" t="str">
        <f>IF($E16=0," ",'t13'!U16/$E16)</f>
        <v xml:space="preserve"> </v>
      </c>
      <c r="Q16" s="521" t="str">
        <f>IF($E16=0," ",SUM('t13'!C16:J16)/$E16)</f>
        <v xml:space="preserve"> </v>
      </c>
      <c r="R16" s="521" t="str">
        <f>IF($E16=0," ",(SUM('t13'!K16:R16)+'t13'!T16)/$E16)</f>
        <v xml:space="preserve"> </v>
      </c>
      <c r="S16" s="522">
        <f t="shared" si="1"/>
        <v>0</v>
      </c>
      <c r="T16" s="523" t="str">
        <f>IF($E16=0," ",'t13'!S16/$E16)</f>
        <v xml:space="preserve"> </v>
      </c>
    </row>
    <row r="17" spans="1:25" s="95" customFormat="1" x14ac:dyDescent="0.2">
      <c r="A17" s="118" t="str">
        <f>'t1'!A17</f>
        <v>ELEVATE PROFESSIONALITA'</v>
      </c>
      <c r="B17" s="92" t="str">
        <f>'t1'!B17</f>
        <v>0EP981</v>
      </c>
      <c r="C17" s="519">
        <f>'t1'!K17+'t1'!L17</f>
        <v>0</v>
      </c>
      <c r="D17" s="519">
        <f>('t1'!K17+'t1'!L17)-SUM('t3'!C17:F17,'t3'!I17:J17)+SUM('t3'!K17:N17)</f>
        <v>0</v>
      </c>
      <c r="E17" s="520">
        <f>'t12'!C17/12</f>
        <v>0</v>
      </c>
      <c r="F17" s="520" t="str">
        <f>IF($D17&gt;0,(('t11'!C19+'t11'!D19)/$D17)," ")</f>
        <v xml:space="preserve"> </v>
      </c>
      <c r="G17" s="520" t="str">
        <f>IF($D17&gt;0,(SUM('t11'!E19:P19)/$D17)," ")</f>
        <v xml:space="preserve"> </v>
      </c>
      <c r="H17" s="520" t="str">
        <f>IF($D17&gt;0,(SUM('t11'!Q19:T19)/$D17)," ")</f>
        <v xml:space="preserve"> </v>
      </c>
      <c r="I17" s="521" t="str">
        <f>IF($E17=0," ",('t12'!D17)/$E17)</f>
        <v xml:space="preserve"> </v>
      </c>
      <c r="J17" s="521" t="str">
        <f>IF($E17=0," ",'t12'!E17/$E17)</f>
        <v xml:space="preserve"> </v>
      </c>
      <c r="K17" s="521" t="str">
        <f>IF($E17=0," ",'t12'!F17/$E17)</f>
        <v xml:space="preserve"> </v>
      </c>
      <c r="L17" s="521" t="str">
        <f>IF($E17=0," ",'t12'!H17/$E17)</f>
        <v xml:space="preserve"> </v>
      </c>
      <c r="M17" s="522">
        <f>SUM(I17:L17)</f>
        <v>0</v>
      </c>
      <c r="N17" s="523" t="str">
        <f>IF($E17=0," ",'t12'!I17/$E17)</f>
        <v xml:space="preserve"> </v>
      </c>
      <c r="O17" s="523" t="str">
        <f>IF($E17=0," ",'t12'!J17/$E17)</f>
        <v xml:space="preserve"> </v>
      </c>
      <c r="P17" s="521" t="str">
        <f>IF($E17=0," ",'t13'!U17/$E17)</f>
        <v xml:space="preserve"> </v>
      </c>
      <c r="Q17" s="521" t="str">
        <f>IF($E17=0," ",SUM('t13'!C17:J17)/$E17)</f>
        <v xml:space="preserve"> </v>
      </c>
      <c r="R17" s="521" t="str">
        <f>IF($E17=0," ",(SUM('t13'!K17:R17)+'t13'!T17)/$E17)</f>
        <v xml:space="preserve"> </v>
      </c>
      <c r="S17" s="522">
        <f>SUM(P17:R17)</f>
        <v>0</v>
      </c>
      <c r="T17" s="523" t="str">
        <f>IF($E17=0," ",'t13'!S17/$E17)</f>
        <v xml:space="preserve"> </v>
      </c>
      <c r="V17"/>
      <c r="W17"/>
      <c r="X17"/>
      <c r="Y17"/>
    </row>
    <row r="18" spans="1:25" s="95" customFormat="1" x14ac:dyDescent="0.2">
      <c r="A18" s="118" t="str">
        <f>'t1'!A18</f>
        <v>FUNZIONARI</v>
      </c>
      <c r="B18" s="92" t="str">
        <f>'t1'!B18</f>
        <v>0FZ000</v>
      </c>
      <c r="C18" s="519">
        <f>'t1'!K18+'t1'!L18</f>
        <v>0</v>
      </c>
      <c r="D18" s="519">
        <f>('t1'!K18+'t1'!L18)-SUM('t3'!C18:F18,'t3'!I18:J18)+SUM('t3'!K18:N18)</f>
        <v>0</v>
      </c>
      <c r="E18" s="520">
        <f>'t12'!C18/12</f>
        <v>0</v>
      </c>
      <c r="F18" s="520" t="str">
        <f>IF($D18&gt;0,(('t11'!C20+'t11'!D20)/$D18)," ")</f>
        <v xml:space="preserve"> </v>
      </c>
      <c r="G18" s="520" t="str">
        <f>IF($D18&gt;0,(SUM('t11'!E20:P20)/$D18)," ")</f>
        <v xml:space="preserve"> </v>
      </c>
      <c r="H18" s="520" t="str">
        <f>IF($D18&gt;0,(SUM('t11'!Q20:T20)/$D18)," ")</f>
        <v xml:space="preserve"> </v>
      </c>
      <c r="I18" s="521" t="str">
        <f>IF($E18=0," ",('t12'!D18)/$E18)</f>
        <v xml:space="preserve"> </v>
      </c>
      <c r="J18" s="521" t="str">
        <f>IF($E18=0," ",'t12'!E18/$E18)</f>
        <v xml:space="preserve"> </v>
      </c>
      <c r="K18" s="521" t="str">
        <f>IF($E18=0," ",'t12'!F18/$E18)</f>
        <v xml:space="preserve"> </v>
      </c>
      <c r="L18" s="521" t="str">
        <f>IF($E18=0," ",'t12'!H18/$E18)</f>
        <v xml:space="preserve"> </v>
      </c>
      <c r="M18" s="522">
        <f t="shared" ref="M18:M21" si="2">SUM(I18:L18)</f>
        <v>0</v>
      </c>
      <c r="N18" s="523" t="str">
        <f>IF($E18=0," ",'t12'!I18/$E18)</f>
        <v xml:space="preserve"> </v>
      </c>
      <c r="O18" s="523" t="str">
        <f>IF($E18=0," ",'t12'!J18/$E18)</f>
        <v xml:space="preserve"> </v>
      </c>
      <c r="P18" s="521" t="str">
        <f>IF($E18=0," ",'t13'!U18/$E18)</f>
        <v xml:space="preserve"> </v>
      </c>
      <c r="Q18" s="521" t="str">
        <f>IF($E18=0," ",SUM('t13'!C18:J18)/$E18)</f>
        <v xml:space="preserve"> </v>
      </c>
      <c r="R18" s="521" t="str">
        <f>IF($E18=0," ",(SUM('t13'!K18:R18)+'t13'!T18)/$E18)</f>
        <v xml:space="preserve"> </v>
      </c>
      <c r="S18" s="522">
        <f t="shared" ref="S18:S21" si="3">SUM(P18:R18)</f>
        <v>0</v>
      </c>
      <c r="T18" s="523" t="str">
        <f>IF($E18=0," ",'t13'!S18/$E18)</f>
        <v xml:space="preserve"> </v>
      </c>
      <c r="V18"/>
      <c r="W18"/>
      <c r="X18"/>
      <c r="Y18"/>
    </row>
    <row r="19" spans="1:25" s="95" customFormat="1" x14ac:dyDescent="0.2">
      <c r="A19" s="118" t="str">
        <f>'t1'!A19</f>
        <v>ASSISTENTI</v>
      </c>
      <c r="B19" s="92" t="str">
        <f>'t1'!B19</f>
        <v>0AS000</v>
      </c>
      <c r="C19" s="519">
        <f>'t1'!K19+'t1'!L19</f>
        <v>1</v>
      </c>
      <c r="D19" s="519">
        <f>('t1'!K19+'t1'!L19)-SUM('t3'!C19:F19,'t3'!I19:J19)+SUM('t3'!K19:N19)</f>
        <v>1</v>
      </c>
      <c r="E19" s="520">
        <f>'t12'!C19/12</f>
        <v>0.56000000000000005</v>
      </c>
      <c r="F19" s="520">
        <f>IF($D19&gt;0,(('t11'!C21+'t11'!D21)/$D19)," ")</f>
        <v>26</v>
      </c>
      <c r="G19" s="520">
        <f>IF($D19&gt;0,(SUM('t11'!E21:P21)/$D19)," ")</f>
        <v>2</v>
      </c>
      <c r="H19" s="520">
        <f>IF($D19&gt;0,(SUM('t11'!Q21:T21)/$D19)," ")</f>
        <v>0</v>
      </c>
      <c r="I19" s="521">
        <f>IF($E19=0," ",('t12'!D19)/$E19)</f>
        <v>19196</v>
      </c>
      <c r="J19" s="521">
        <f>IF($E19=0," ",'t12'!E19/$E19)</f>
        <v>0</v>
      </c>
      <c r="K19" s="521">
        <f>IF($E19=0," ",'t12'!F19/$E19)</f>
        <v>2396</v>
      </c>
      <c r="L19" s="521">
        <f>IF($E19=0," ",'t12'!H19/$E19)</f>
        <v>1963</v>
      </c>
      <c r="M19" s="522">
        <f t="shared" si="2"/>
        <v>23555</v>
      </c>
      <c r="N19" s="523">
        <f>IF($E19=0," ",'t12'!I19/$E19)</f>
        <v>0</v>
      </c>
      <c r="O19" s="523">
        <f>IF($E19=0," ",'t12'!J19/$E19)</f>
        <v>0</v>
      </c>
      <c r="P19" s="521">
        <f>IF($E19=0," ",'t13'!U19/$E19)</f>
        <v>1691</v>
      </c>
      <c r="Q19" s="521">
        <f>IF($E19=0," ",SUM('t13'!C19:J19)/$E19)</f>
        <v>4779</v>
      </c>
      <c r="R19" s="521">
        <f>IF($E19=0," ",(SUM('t13'!K19:R19)+'t13'!T19)/$E19)</f>
        <v>323</v>
      </c>
      <c r="S19" s="522">
        <f t="shared" si="3"/>
        <v>6793</v>
      </c>
      <c r="T19" s="523">
        <f>IF($E19=0," ",'t13'!S19/$E19)</f>
        <v>0</v>
      </c>
      <c r="V19"/>
      <c r="W19"/>
      <c r="X19"/>
      <c r="Y19"/>
    </row>
    <row r="20" spans="1:25" s="95" customFormat="1" x14ac:dyDescent="0.2">
      <c r="A20" s="118" t="str">
        <f>'t1'!A20</f>
        <v>OPERATORI</v>
      </c>
      <c r="B20" s="92" t="str">
        <f>'t1'!B20</f>
        <v>0OP000</v>
      </c>
      <c r="C20" s="519">
        <f>'t1'!K20+'t1'!L20</f>
        <v>0</v>
      </c>
      <c r="D20" s="519">
        <f>('t1'!K20+'t1'!L20)-SUM('t3'!C20:F20,'t3'!I20:J20)+SUM('t3'!K20:N20)</f>
        <v>0</v>
      </c>
      <c r="E20" s="520">
        <f>'t12'!C20/12</f>
        <v>0</v>
      </c>
      <c r="F20" s="520" t="str">
        <f>IF($D20&gt;0,(('t11'!C22+'t11'!D22)/$D20)," ")</f>
        <v xml:space="preserve"> </v>
      </c>
      <c r="G20" s="520" t="str">
        <f>IF($D20&gt;0,(SUM('t11'!E22:P22)/$D20)," ")</f>
        <v xml:space="preserve"> </v>
      </c>
      <c r="H20" s="520" t="str">
        <f>IF($D20&gt;0,(SUM('t11'!Q22:T22)/$D20)," ")</f>
        <v xml:space="preserve"> </v>
      </c>
      <c r="I20" s="521" t="str">
        <f>IF($E20=0," ",('t12'!D20)/$E20)</f>
        <v xml:space="preserve"> </v>
      </c>
      <c r="J20" s="521" t="str">
        <f>IF($E20=0," ",'t12'!E20/$E20)</f>
        <v xml:space="preserve"> </v>
      </c>
      <c r="K20" s="521" t="str">
        <f>IF($E20=0," ",'t12'!F20/$E20)</f>
        <v xml:space="preserve"> </v>
      </c>
      <c r="L20" s="521" t="str">
        <f>IF($E20=0," ",'t12'!H20/$E20)</f>
        <v xml:space="preserve"> </v>
      </c>
      <c r="M20" s="522">
        <f t="shared" si="2"/>
        <v>0</v>
      </c>
      <c r="N20" s="523" t="str">
        <f>IF($E20=0," ",'t12'!I20/$E20)</f>
        <v xml:space="preserve"> </v>
      </c>
      <c r="O20" s="523" t="str">
        <f>IF($E20=0," ",'t12'!J20/$E20)</f>
        <v xml:space="preserve"> </v>
      </c>
      <c r="P20" s="521" t="str">
        <f>IF($E20=0," ",'t13'!U20/$E20)</f>
        <v xml:space="preserve"> </v>
      </c>
      <c r="Q20" s="521" t="str">
        <f>IF($E20=0," ",SUM('t13'!C20:J20)/$E20)</f>
        <v xml:space="preserve"> </v>
      </c>
      <c r="R20" s="521" t="str">
        <f>IF($E20=0," ",(SUM('t13'!K20:R20)+'t13'!T20)/$E20)</f>
        <v xml:space="preserve"> </v>
      </c>
      <c r="S20" s="522">
        <f t="shared" si="3"/>
        <v>0</v>
      </c>
      <c r="T20" s="523" t="str">
        <f>IF($E20=0," ",'t13'!S20/$E20)</f>
        <v xml:space="preserve"> </v>
      </c>
      <c r="V20"/>
      <c r="W20"/>
      <c r="X20"/>
      <c r="Y20"/>
    </row>
    <row r="21" spans="1:25" s="95" customFormat="1" x14ac:dyDescent="0.2">
      <c r="A21" s="118" t="str">
        <f>'t1'!A21</f>
        <v>CONTRATTISTI</v>
      </c>
      <c r="B21" s="92" t="str">
        <f>'t1'!B21</f>
        <v>000061</v>
      </c>
      <c r="C21" s="519">
        <f>'t1'!K21+'t1'!L21</f>
        <v>0</v>
      </c>
      <c r="D21" s="519">
        <f>('t1'!K21+'t1'!L21)-SUM('t3'!C21:F21,'t3'!I21:J21)+SUM('t3'!K21:N21)</f>
        <v>0</v>
      </c>
      <c r="E21" s="520">
        <f>'t12'!C21/12</f>
        <v>0</v>
      </c>
      <c r="F21" s="520" t="str">
        <f>IF($D21&gt;0,(('t11'!C23+'t11'!D23)/$D21)," ")</f>
        <v xml:space="preserve"> </v>
      </c>
      <c r="G21" s="520" t="str">
        <f>IF($D21&gt;0,(SUM('t11'!E23:P23)/$D21)," ")</f>
        <v xml:space="preserve"> </v>
      </c>
      <c r="H21" s="520" t="str">
        <f>IF($D21&gt;0,(SUM('t11'!Q23:T23)/$D21)," ")</f>
        <v xml:space="preserve"> </v>
      </c>
      <c r="I21" s="521" t="str">
        <f>IF($E21=0," ",('t12'!D21)/$E21)</f>
        <v xml:space="preserve"> </v>
      </c>
      <c r="J21" s="521" t="str">
        <f>IF($E21=0," ",'t12'!E21/$E21)</f>
        <v xml:space="preserve"> </v>
      </c>
      <c r="K21" s="521" t="str">
        <f>IF($E21=0," ",'t12'!F21/$E21)</f>
        <v xml:space="preserve"> </v>
      </c>
      <c r="L21" s="521" t="str">
        <f>IF($E21=0," ",'t12'!H21/$E21)</f>
        <v xml:space="preserve"> </v>
      </c>
      <c r="M21" s="522">
        <f t="shared" si="2"/>
        <v>0</v>
      </c>
      <c r="N21" s="523" t="str">
        <f>IF($E21=0," ",'t12'!I21/$E21)</f>
        <v xml:space="preserve"> </v>
      </c>
      <c r="O21" s="523" t="str">
        <f>IF($E21=0," ",'t12'!J21/$E21)</f>
        <v xml:space="preserve"> </v>
      </c>
      <c r="P21" s="521" t="str">
        <f>IF($E21=0," ",'t13'!U21/$E21)</f>
        <v xml:space="preserve"> </v>
      </c>
      <c r="Q21" s="521" t="str">
        <f>IF($E21=0," ",SUM('t13'!C21:J21)/$E21)</f>
        <v xml:space="preserve"> </v>
      </c>
      <c r="R21" s="521" t="str">
        <f>IF($E21=0," ",(SUM('t13'!K21:R21)+'t13'!T21)/$E21)</f>
        <v xml:space="preserve"> </v>
      </c>
      <c r="S21" s="522">
        <f t="shared" si="3"/>
        <v>0</v>
      </c>
      <c r="T21" s="523" t="str">
        <f>IF($E21=0," ",'t13'!S21/$E21)</f>
        <v xml:space="preserve"> </v>
      </c>
      <c r="V21"/>
      <c r="W21"/>
      <c r="X21"/>
      <c r="Y21"/>
    </row>
    <row r="23" spans="1:25" x14ac:dyDescent="0.2">
      <c r="A23" s="3" t="str">
        <f>"(*)  Personale presente al 31/12/"&amp;'t1'!L1&amp;" di T1 - personale dell'amministrazione comandato/distaccato, fuori ruolo e in esonero di T3 + personale esterno comandato/distaccato e fuori ruolo di T3"</f>
        <v>(*)  Personale presente al 31/12/2024 di T1 - personale dell'amministrazione comandato/distaccato, fuori ruolo e in esonero di T3 + personale esterno comandato/distaccato e fuori ruolo di T3</v>
      </c>
    </row>
    <row r="24" spans="1:25" x14ac:dyDescent="0.2">
      <c r="A24" s="3" t="s">
        <v>403</v>
      </c>
    </row>
  </sheetData>
  <sheetProtection algorithmName="SHA-512" hashValue="Blj5oG5PvZCUqMWbkjMdoRvSTHMkeLISbw33uoPXQV8UIAUEyxy7lkD6pbapz6obKMbSFwcK9alnba6q3h8ePg==" saltValue="8KHcOqKuhVbjnDzF2lvxMg==" spinCount="100000" sheet="1" formatColumns="0" selectLockedCells="1" selectUnlockedCells="1"/>
  <mergeCells count="4">
    <mergeCell ref="A1:I1"/>
    <mergeCell ref="F4:H4"/>
    <mergeCell ref="I4:O4"/>
    <mergeCell ref="P4:T4"/>
  </mergeCells>
  <phoneticPr fontId="30" type="noConversion"/>
  <printOptions horizontalCentered="1" verticalCentered="1"/>
  <pageMargins left="0.19685039370078741" right="0.19685039370078741" top="0.19685039370078741" bottom="0.15748031496062992" header="0.15748031496062992" footer="0.15748031496062992"/>
  <pageSetup paperSize="9" scale="80" orientation="landscape" horizontalDpi="0" verticalDpi="0" r:id="rId1"/>
  <headerFooter alignWithMargins="0"/>
  <colBreaks count="1" manualBreakCount="1">
    <brk id="15" max="1048575" man="1"/>
  </col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oglio22"/>
  <dimension ref="A1:T45"/>
  <sheetViews>
    <sheetView showGridLines="0" workbookViewId="0">
      <pane ySplit="5" topLeftCell="A8" activePane="bottomLeft" state="frozen"/>
      <selection activeCell="A2" sqref="A2"/>
      <selection pane="bottomLeft" activeCell="B5" sqref="B5"/>
    </sheetView>
  </sheetViews>
  <sheetFormatPr defaultColWidth="9.33203125" defaultRowHeight="11.25" x14ac:dyDescent="0.2"/>
  <cols>
    <col min="1" max="1" width="37.6640625" style="3" customWidth="1"/>
    <col min="2" max="2" width="10" style="2" bestFit="1" customWidth="1"/>
    <col min="3" max="7" width="13.33203125" style="2" customWidth="1"/>
    <col min="8" max="8" width="15" style="2" customWidth="1"/>
    <col min="9" max="10" width="13.33203125" style="2" customWidth="1"/>
    <col min="11" max="16384" width="9.33203125" style="3"/>
  </cols>
  <sheetData>
    <row r="1" spans="1:13" ht="43.5" customHeight="1" x14ac:dyDescent="0.2">
      <c r="A1" s="1447" t="str">
        <f>'t1'!A1</f>
        <v>ENTI PUBBLICI NON ECONOMICI - anno 2024</v>
      </c>
      <c r="B1" s="1447"/>
      <c r="C1" s="1447"/>
      <c r="D1" s="1447"/>
      <c r="E1" s="1447"/>
      <c r="F1" s="1447"/>
      <c r="G1" s="1447"/>
      <c r="H1" s="1447"/>
      <c r="I1" s="288"/>
      <c r="J1" s="285"/>
      <c r="M1"/>
    </row>
    <row r="2" spans="1:13" ht="21" customHeight="1" x14ac:dyDescent="0.2">
      <c r="B2" s="3"/>
      <c r="C2" s="3"/>
      <c r="D2" s="1537"/>
      <c r="E2" s="1537"/>
      <c r="F2" s="1537"/>
      <c r="G2" s="1537"/>
      <c r="H2" s="1537"/>
      <c r="I2" s="1537"/>
      <c r="J2" s="1537"/>
      <c r="M2"/>
    </row>
    <row r="3" spans="1:13" s="173" customFormat="1" ht="21" customHeight="1" x14ac:dyDescent="0.25">
      <c r="A3" s="173" t="str">
        <f>"Tavola di coerenza tra presenti al 31.12."&amp;'t1'!L1&amp;" e presenti al 31.12."&amp;'t1'!L1-1&amp;" (Squadratura 1)"</f>
        <v>Tavola di coerenza tra presenti al 31.12.2024 e presenti al 31.12.2023 (Squadratura 1)</v>
      </c>
      <c r="B3" s="287"/>
    </row>
    <row r="4" spans="1:13" ht="36.75" customHeight="1" x14ac:dyDescent="0.2">
      <c r="A4" s="156" t="s">
        <v>181</v>
      </c>
      <c r="B4" s="157" t="s">
        <v>180</v>
      </c>
      <c r="C4" s="157" t="str">
        <f>"Presenti 31.12."&amp;'t1'!L1-1&amp;" (Tab 1)"</f>
        <v>Presenti 31.12.2023 (Tab 1)</v>
      </c>
      <c r="D4" s="157" t="s">
        <v>173</v>
      </c>
      <c r="E4" s="157" t="s">
        <v>228</v>
      </c>
      <c r="F4" s="157" t="s">
        <v>175</v>
      </c>
      <c r="G4" s="157" t="s">
        <v>174</v>
      </c>
      <c r="H4" s="157" t="str">
        <f>"Presenti 31.12."&amp;'t1'!L1&amp;" (Calcolati)"</f>
        <v>Presenti 31.12.2024 (Calcolati)</v>
      </c>
      <c r="I4" s="157" t="str">
        <f>"Presenti 31.12."&amp;'t1'!L1&amp;" (Tab 1)"</f>
        <v>Presenti 31.12.2024 (Tab 1)</v>
      </c>
      <c r="J4" s="157" t="s">
        <v>190</v>
      </c>
    </row>
    <row r="5" spans="1:13" x14ac:dyDescent="0.2">
      <c r="A5" s="600"/>
      <c r="B5" s="157"/>
      <c r="C5" s="162" t="s">
        <v>182</v>
      </c>
      <c r="D5" s="162" t="s">
        <v>183</v>
      </c>
      <c r="E5" s="162" t="s">
        <v>184</v>
      </c>
      <c r="F5" s="162" t="s">
        <v>185</v>
      </c>
      <c r="G5" s="162" t="s">
        <v>186</v>
      </c>
      <c r="H5" s="162" t="s">
        <v>187</v>
      </c>
      <c r="I5" s="162" t="s">
        <v>188</v>
      </c>
      <c r="J5" s="162" t="s">
        <v>189</v>
      </c>
    </row>
    <row r="6" spans="1:13" ht="14.1" customHeight="1" x14ac:dyDescent="0.2">
      <c r="A6" s="601" t="str">
        <f>'t1'!A6</f>
        <v>DIRETTORE GENERALE</v>
      </c>
      <c r="B6" s="163" t="str">
        <f>'t1'!B6</f>
        <v>0D0097</v>
      </c>
      <c r="C6" s="310">
        <f>'t1'!C6+'t1'!D6</f>
        <v>0</v>
      </c>
      <c r="D6" s="310">
        <f>'t5'!U7+'t5'!V7</f>
        <v>0</v>
      </c>
      <c r="E6" s="311">
        <f>'t6'!U7+'t6'!V7</f>
        <v>0</v>
      </c>
      <c r="F6" s="311">
        <f>'t4'!S15</f>
        <v>0</v>
      </c>
      <c r="G6" s="311">
        <f>'t4'!$C$31</f>
        <v>0</v>
      </c>
      <c r="H6" s="311">
        <f>C6-D6+E6-F6+G6</f>
        <v>0</v>
      </c>
      <c r="I6" s="311">
        <f>'t1'!K6+'t1'!L6</f>
        <v>0</v>
      </c>
      <c r="J6" s="92" t="str">
        <f t="shared" ref="J6:J16" si="0">IF(H6=I6,"OK","ERRORE")</f>
        <v>OK</v>
      </c>
    </row>
    <row r="7" spans="1:13" ht="14.1" customHeight="1" x14ac:dyDescent="0.2">
      <c r="A7" s="601" t="str">
        <f>'t1'!A7</f>
        <v>DIRIGENTE I FASCIA</v>
      </c>
      <c r="B7" s="163" t="str">
        <f>'t1'!B7</f>
        <v>0D0077</v>
      </c>
      <c r="C7" s="310">
        <f>'t1'!C7+'t1'!D7</f>
        <v>0</v>
      </c>
      <c r="D7" s="310">
        <f>'t5'!U8+'t5'!V8</f>
        <v>0</v>
      </c>
      <c r="E7" s="311">
        <f>'t6'!U8+'t6'!V8</f>
        <v>0</v>
      </c>
      <c r="F7" s="311">
        <f>'t4'!S16</f>
        <v>0</v>
      </c>
      <c r="G7" s="311">
        <f>'t4'!$D$31</f>
        <v>0</v>
      </c>
      <c r="H7" s="311">
        <f t="shared" ref="H7:H16" si="1">C7-D7+E7-F7+G7</f>
        <v>0</v>
      </c>
      <c r="I7" s="311">
        <f>'t1'!K7+'t1'!L7</f>
        <v>0</v>
      </c>
      <c r="J7" s="92" t="str">
        <f t="shared" si="0"/>
        <v>OK</v>
      </c>
    </row>
    <row r="8" spans="1:13" ht="14.1" customHeight="1" x14ac:dyDescent="0.2">
      <c r="A8" s="601" t="str">
        <f>'t1'!A8</f>
        <v>DIRIGENTE I FASCIA A TEMPO DETERM.</v>
      </c>
      <c r="B8" s="163" t="str">
        <f>'t1'!B8</f>
        <v>0D0078</v>
      </c>
      <c r="C8" s="310">
        <f>'t1'!C8+'t1'!D8</f>
        <v>0</v>
      </c>
      <c r="D8" s="310">
        <f>'t5'!U9+'t5'!V9</f>
        <v>0</v>
      </c>
      <c r="E8" s="311">
        <f>'t6'!U9+'t6'!V9</f>
        <v>0</v>
      </c>
      <c r="F8" s="311">
        <f>'t4'!S17</f>
        <v>0</v>
      </c>
      <c r="G8" s="311">
        <f>'t4'!$E$31</f>
        <v>0</v>
      </c>
      <c r="H8" s="311">
        <f t="shared" si="1"/>
        <v>0</v>
      </c>
      <c r="I8" s="311">
        <f>'t1'!K8+'t1'!L8</f>
        <v>0</v>
      </c>
      <c r="J8" s="92" t="str">
        <f t="shared" si="0"/>
        <v>OK</v>
      </c>
    </row>
    <row r="9" spans="1:13" ht="14.1" customHeight="1" x14ac:dyDescent="0.2">
      <c r="A9" s="601" t="str">
        <f>'t1'!A9</f>
        <v>DIRIGENTE II FASCIA</v>
      </c>
      <c r="B9" s="163" t="str">
        <f>'t1'!B9</f>
        <v>0D0079</v>
      </c>
      <c r="C9" s="310">
        <f>'t1'!C9+'t1'!D9</f>
        <v>0</v>
      </c>
      <c r="D9" s="310">
        <f>'t5'!U10+'t5'!V10</f>
        <v>0</v>
      </c>
      <c r="E9" s="311">
        <f>'t6'!U10+'t6'!V10</f>
        <v>0</v>
      </c>
      <c r="F9" s="311">
        <f>'t4'!S18</f>
        <v>0</v>
      </c>
      <c r="G9" s="311">
        <f>'t4'!$F$31</f>
        <v>0</v>
      </c>
      <c r="H9" s="311">
        <f t="shared" si="1"/>
        <v>0</v>
      </c>
      <c r="I9" s="311">
        <f>'t1'!K9+'t1'!L9</f>
        <v>0</v>
      </c>
      <c r="J9" s="92" t="str">
        <f t="shared" si="0"/>
        <v>OK</v>
      </c>
    </row>
    <row r="10" spans="1:13" ht="14.1" customHeight="1" x14ac:dyDescent="0.2">
      <c r="A10" s="601" t="str">
        <f>'t1'!A10</f>
        <v>DIRIGENTE II FASCIA A TEMPO DETERM.</v>
      </c>
      <c r="B10" s="163" t="str">
        <f>'t1'!B10</f>
        <v>0D0080</v>
      </c>
      <c r="C10" s="310">
        <f>'t1'!C10+'t1'!D10</f>
        <v>0</v>
      </c>
      <c r="D10" s="310">
        <f>'t5'!U11+'t5'!V11</f>
        <v>0</v>
      </c>
      <c r="E10" s="311">
        <f>'t6'!U11+'t6'!V11</f>
        <v>0</v>
      </c>
      <c r="F10" s="311">
        <f>'t4'!S19</f>
        <v>0</v>
      </c>
      <c r="G10" s="311">
        <f>'t4'!$G$31</f>
        <v>0</v>
      </c>
      <c r="H10" s="311">
        <f t="shared" si="1"/>
        <v>0</v>
      </c>
      <c r="I10" s="311">
        <f>'t1'!K10+'t1'!L10</f>
        <v>0</v>
      </c>
      <c r="J10" s="92" t="str">
        <f t="shared" si="0"/>
        <v>OK</v>
      </c>
    </row>
    <row r="11" spans="1:13" ht="14.1" customHeight="1" x14ac:dyDescent="0.2">
      <c r="A11" s="601" t="str">
        <f>'t1'!A11</f>
        <v>MEDICO II FASCIA T.P.</v>
      </c>
      <c r="B11" s="163" t="str">
        <f>'t1'!B11</f>
        <v>0D0584</v>
      </c>
      <c r="C11" s="310">
        <f>'t1'!C11+'t1'!D11</f>
        <v>0</v>
      </c>
      <c r="D11" s="310">
        <f>'t5'!U12+'t5'!V12</f>
        <v>0</v>
      </c>
      <c r="E11" s="311">
        <f>'t6'!U12+'t6'!V12</f>
        <v>0</v>
      </c>
      <c r="F11" s="311">
        <f>'t4'!S20</f>
        <v>0</v>
      </c>
      <c r="G11" s="311">
        <f>'t4'!$H$31</f>
        <v>0</v>
      </c>
      <c r="H11" s="311">
        <f t="shared" si="1"/>
        <v>0</v>
      </c>
      <c r="I11" s="311">
        <f>'t1'!K11+'t1'!L11</f>
        <v>0</v>
      </c>
      <c r="J11" s="92" t="str">
        <f t="shared" si="0"/>
        <v>OK</v>
      </c>
    </row>
    <row r="12" spans="1:13" ht="14.1" customHeight="1" x14ac:dyDescent="0.2">
      <c r="A12" s="601" t="str">
        <f>'t1'!A12</f>
        <v>MEDICO I FASCIA T.P.</v>
      </c>
      <c r="B12" s="163" t="str">
        <f>'t1'!B12</f>
        <v>0D0585</v>
      </c>
      <c r="C12" s="310">
        <f>'t1'!C12+'t1'!D12</f>
        <v>0</v>
      </c>
      <c r="D12" s="310">
        <f>'t5'!U13+'t5'!V13</f>
        <v>0</v>
      </c>
      <c r="E12" s="311">
        <f>'t6'!U13+'t6'!V13</f>
        <v>0</v>
      </c>
      <c r="F12" s="311">
        <f>'t4'!S21</f>
        <v>0</v>
      </c>
      <c r="G12" s="311">
        <f>'t4'!$I$31</f>
        <v>0</v>
      </c>
      <c r="H12" s="311">
        <f t="shared" si="1"/>
        <v>0</v>
      </c>
      <c r="I12" s="311">
        <f>'t1'!K12+'t1'!L12</f>
        <v>0</v>
      </c>
      <c r="J12" s="92" t="str">
        <f t="shared" si="0"/>
        <v>OK</v>
      </c>
    </row>
    <row r="13" spans="1:13" ht="14.1" customHeight="1" x14ac:dyDescent="0.2">
      <c r="A13" s="601" t="str">
        <f>'t1'!A13</f>
        <v>MEDICO II FASCIA T.D.</v>
      </c>
      <c r="B13" s="163" t="str">
        <f>'t1'!B13</f>
        <v>0D0586</v>
      </c>
      <c r="C13" s="310">
        <f>'t1'!C13+'t1'!D13</f>
        <v>0</v>
      </c>
      <c r="D13" s="310">
        <f>'t5'!U14+'t5'!V14</f>
        <v>0</v>
      </c>
      <c r="E13" s="311">
        <f>'t6'!U14+'t6'!V14</f>
        <v>0</v>
      </c>
      <c r="F13" s="311">
        <f>'t4'!S22</f>
        <v>0</v>
      </c>
      <c r="G13" s="311">
        <f>'t4'!$J$31</f>
        <v>0</v>
      </c>
      <c r="H13" s="311">
        <f t="shared" si="1"/>
        <v>0</v>
      </c>
      <c r="I13" s="311">
        <f>'t1'!K13+'t1'!L13</f>
        <v>0</v>
      </c>
      <c r="J13" s="92" t="str">
        <f t="shared" si="0"/>
        <v>OK</v>
      </c>
    </row>
    <row r="14" spans="1:13" ht="14.1" customHeight="1" x14ac:dyDescent="0.2">
      <c r="A14" s="601" t="str">
        <f>'t1'!A14</f>
        <v>MEDICO I FASCIA T.D.</v>
      </c>
      <c r="B14" s="163" t="str">
        <f>'t1'!B14</f>
        <v>0D0496</v>
      </c>
      <c r="C14" s="310">
        <f>'t1'!C14+'t1'!D14</f>
        <v>0</v>
      </c>
      <c r="D14" s="310">
        <f>'t5'!U15+'t5'!V15</f>
        <v>0</v>
      </c>
      <c r="E14" s="311">
        <f>'t6'!U15+'t6'!V15</f>
        <v>0</v>
      </c>
      <c r="F14" s="311">
        <f>'t4'!S23</f>
        <v>0</v>
      </c>
      <c r="G14" s="311">
        <f>'t4'!$K$31</f>
        <v>0</v>
      </c>
      <c r="H14" s="311">
        <f t="shared" si="1"/>
        <v>0</v>
      </c>
      <c r="I14" s="311">
        <f>'t1'!K14+'t1'!L14</f>
        <v>0</v>
      </c>
      <c r="J14" s="92" t="str">
        <f t="shared" si="0"/>
        <v>OK</v>
      </c>
    </row>
    <row r="15" spans="1:13" ht="14.1" customHeight="1" x14ac:dyDescent="0.2">
      <c r="A15" s="601" t="str">
        <f>'t1'!A15</f>
        <v>PROFESSIONISTI II LIVELLO</v>
      </c>
      <c r="B15" s="163" t="str">
        <f>'t1'!B15</f>
        <v>0D0PR2</v>
      </c>
      <c r="C15" s="310">
        <f>'t1'!C15+'t1'!D15</f>
        <v>0</v>
      </c>
      <c r="D15" s="310">
        <f>'t5'!U16+'t5'!V16</f>
        <v>0</v>
      </c>
      <c r="E15" s="311">
        <f>'t6'!U16+'t6'!V16</f>
        <v>0</v>
      </c>
      <c r="F15" s="311">
        <f>'t4'!S24</f>
        <v>0</v>
      </c>
      <c r="G15" s="311">
        <f>'t4'!$L$31</f>
        <v>0</v>
      </c>
      <c r="H15" s="311">
        <f t="shared" si="1"/>
        <v>0</v>
      </c>
      <c r="I15" s="311">
        <f>'t1'!K15+'t1'!L15</f>
        <v>0</v>
      </c>
      <c r="J15" s="92" t="str">
        <f t="shared" si="0"/>
        <v>OK</v>
      </c>
    </row>
    <row r="16" spans="1:13" ht="14.1" customHeight="1" x14ac:dyDescent="0.2">
      <c r="A16" s="601" t="str">
        <f>'t1'!A16</f>
        <v>PROFESSIONISTI I LIVELLO</v>
      </c>
      <c r="B16" s="163" t="str">
        <f>'t1'!B16</f>
        <v>0D0PR1</v>
      </c>
      <c r="C16" s="310">
        <f>'t1'!C16+'t1'!D16</f>
        <v>0</v>
      </c>
      <c r="D16" s="310">
        <f>'t5'!U17+'t5'!V17</f>
        <v>0</v>
      </c>
      <c r="E16" s="311">
        <f>'t6'!U17+'t6'!V17</f>
        <v>0</v>
      </c>
      <c r="F16" s="311">
        <f>'t4'!S25</f>
        <v>0</v>
      </c>
      <c r="G16" s="311">
        <f>'t4'!$M$31</f>
        <v>0</v>
      </c>
      <c r="H16" s="311">
        <f t="shared" si="1"/>
        <v>0</v>
      </c>
      <c r="I16" s="311">
        <f>'t1'!K16+'t1'!L16</f>
        <v>0</v>
      </c>
      <c r="J16" s="92" t="str">
        <f t="shared" si="0"/>
        <v>OK</v>
      </c>
    </row>
    <row r="17" spans="1:20" ht="14.1" customHeight="1" x14ac:dyDescent="0.2">
      <c r="A17" s="601" t="str">
        <f>'t1'!A17</f>
        <v>ELEVATE PROFESSIONALITA'</v>
      </c>
      <c r="B17" s="163" t="str">
        <f>'t1'!B17</f>
        <v>0EP981</v>
      </c>
      <c r="C17" s="310">
        <f>'t1'!C17+'t1'!D17</f>
        <v>0</v>
      </c>
      <c r="D17" s="310">
        <f>'t5'!U18+'t5'!V18</f>
        <v>0</v>
      </c>
      <c r="E17" s="311">
        <f>'t6'!U18+'t6'!V18</f>
        <v>0</v>
      </c>
      <c r="F17" s="311">
        <f>'t4'!S26</f>
        <v>0</v>
      </c>
      <c r="G17" s="311">
        <f>'t4'!$N$31</f>
        <v>0</v>
      </c>
      <c r="H17" s="311">
        <f>C17-D17+E17-F17+G17</f>
        <v>0</v>
      </c>
      <c r="I17" s="311">
        <f>'t1'!K17+'t1'!L17</f>
        <v>0</v>
      </c>
      <c r="J17" s="92" t="str">
        <f>IF(H17=I17,"OK","ERRORE")</f>
        <v>OK</v>
      </c>
    </row>
    <row r="18" spans="1:20" ht="14.1" customHeight="1" x14ac:dyDescent="0.2">
      <c r="A18" s="601" t="str">
        <f>'t1'!A18</f>
        <v>FUNZIONARI</v>
      </c>
      <c r="B18" s="163" t="str">
        <f>'t1'!B18</f>
        <v>0FZ000</v>
      </c>
      <c r="C18" s="310">
        <f>'t1'!C18+'t1'!D18</f>
        <v>0</v>
      </c>
      <c r="D18" s="310">
        <f>'t5'!U19+'t5'!V19</f>
        <v>0</v>
      </c>
      <c r="E18" s="311">
        <f>'t6'!U19+'t6'!V19</f>
        <v>0</v>
      </c>
      <c r="F18" s="311">
        <f>'t4'!S27</f>
        <v>0</v>
      </c>
      <c r="G18" s="311">
        <f>'t4'!$O$31</f>
        <v>0</v>
      </c>
      <c r="H18" s="311">
        <f>C18-D18+E18-F18+G18</f>
        <v>0</v>
      </c>
      <c r="I18" s="311">
        <f>'t1'!K18+'t1'!L18</f>
        <v>0</v>
      </c>
      <c r="J18" s="92" t="str">
        <f>IF(H18=I18,"OK","ERRORE")</f>
        <v>OK</v>
      </c>
    </row>
    <row r="19" spans="1:20" ht="14.1" customHeight="1" x14ac:dyDescent="0.2">
      <c r="A19" s="601" t="str">
        <f>'t1'!A19</f>
        <v>ASSISTENTI</v>
      </c>
      <c r="B19" s="163" t="str">
        <f>'t1'!B19</f>
        <v>0AS000</v>
      </c>
      <c r="C19" s="310">
        <f>'t1'!C19+'t1'!D19</f>
        <v>1</v>
      </c>
      <c r="D19" s="310">
        <f>'t5'!U20+'t5'!V20</f>
        <v>0</v>
      </c>
      <c r="E19" s="311">
        <f>'t6'!U20+'t6'!V20</f>
        <v>0</v>
      </c>
      <c r="F19" s="311">
        <f>'t4'!S28</f>
        <v>0</v>
      </c>
      <c r="G19" s="311">
        <f>'t4'!$P$31</f>
        <v>0</v>
      </c>
      <c r="H19" s="311">
        <f>C19-D19+E19-F19+G19</f>
        <v>1</v>
      </c>
      <c r="I19" s="311">
        <f>'t1'!K19+'t1'!L19</f>
        <v>1</v>
      </c>
      <c r="J19" s="92" t="str">
        <f>IF(H19=I19,"OK","ERRORE")</f>
        <v>OK</v>
      </c>
    </row>
    <row r="20" spans="1:20" ht="14.1" customHeight="1" x14ac:dyDescent="0.2">
      <c r="A20" s="601" t="str">
        <f>'t1'!A20</f>
        <v>OPERATORI</v>
      </c>
      <c r="B20" s="163" t="str">
        <f>'t1'!B20</f>
        <v>0OP000</v>
      </c>
      <c r="C20" s="310">
        <f>'t1'!C20+'t1'!D20</f>
        <v>0</v>
      </c>
      <c r="D20" s="310">
        <f>'t5'!U21+'t5'!V21</f>
        <v>0</v>
      </c>
      <c r="E20" s="311">
        <f>'t6'!U21+'t6'!V21</f>
        <v>0</v>
      </c>
      <c r="F20" s="311">
        <f>'t4'!S29</f>
        <v>0</v>
      </c>
      <c r="G20" s="311">
        <f>'t4'!$Q$31</f>
        <v>0</v>
      </c>
      <c r="H20" s="311">
        <f>C20-D20+E20-F20+G20</f>
        <v>0</v>
      </c>
      <c r="I20" s="311">
        <f>'t1'!K20+'t1'!L20</f>
        <v>0</v>
      </c>
      <c r="J20" s="92" t="str">
        <f>IF(H20=I20,"OK","ERRORE")</f>
        <v>OK</v>
      </c>
    </row>
    <row r="21" spans="1:20" ht="14.1" customHeight="1" x14ac:dyDescent="0.2">
      <c r="A21" s="601" t="str">
        <f>'t1'!A21</f>
        <v>CONTRATTISTI</v>
      </c>
      <c r="B21" s="163" t="str">
        <f>'t1'!B21</f>
        <v>000061</v>
      </c>
      <c r="C21" s="310">
        <f>'t1'!C21+'t1'!D21</f>
        <v>0</v>
      </c>
      <c r="D21" s="310">
        <f>'t5'!U22+'t5'!V22</f>
        <v>0</v>
      </c>
      <c r="E21" s="311">
        <f>'t6'!U22+'t6'!V22</f>
        <v>0</v>
      </c>
      <c r="F21" s="311">
        <f>'t4'!S30</f>
        <v>0</v>
      </c>
      <c r="G21" s="311">
        <f>'t4'!$R$31</f>
        <v>0</v>
      </c>
      <c r="H21" s="311">
        <f t="shared" ref="H21" si="2">C21-D21+E21-F21+G21</f>
        <v>0</v>
      </c>
      <c r="I21" s="311">
        <f>'t1'!K21+'t1'!L21</f>
        <v>0</v>
      </c>
      <c r="J21" s="92" t="str">
        <f t="shared" ref="J21" si="3">IF(H21=I21,"OK","ERRORE")</f>
        <v>OK</v>
      </c>
    </row>
    <row r="22" spans="1:20" s="317" customFormat="1" ht="15.75" customHeight="1" x14ac:dyDescent="0.2">
      <c r="A22" s="602" t="str">
        <f>'t1'!A22</f>
        <v>TOTALE</v>
      </c>
      <c r="B22" s="183"/>
      <c r="C22" s="334">
        <f t="shared" ref="C22:I22" si="4">SUM(C6:C21)</f>
        <v>1</v>
      </c>
      <c r="D22" s="334">
        <f t="shared" si="4"/>
        <v>0</v>
      </c>
      <c r="E22" s="334">
        <f t="shared" si="4"/>
        <v>0</v>
      </c>
      <c r="F22" s="334">
        <f t="shared" si="4"/>
        <v>0</v>
      </c>
      <c r="G22" s="334">
        <f t="shared" si="4"/>
        <v>0</v>
      </c>
      <c r="H22" s="334">
        <f t="shared" si="4"/>
        <v>1</v>
      </c>
      <c r="I22" s="334">
        <f t="shared" si="4"/>
        <v>1</v>
      </c>
      <c r="J22" s="156" t="str">
        <f>IF(H22=I22,"OK","ERRORE")</f>
        <v>OK</v>
      </c>
    </row>
    <row r="27" spans="1:20" x14ac:dyDescent="0.2">
      <c r="F27" s="331"/>
      <c r="G27" s="331"/>
      <c r="H27" s="331"/>
      <c r="I27" s="331"/>
      <c r="J27" s="331"/>
      <c r="K27" s="332"/>
      <c r="L27" s="332"/>
      <c r="M27" s="332"/>
      <c r="N27" s="332"/>
      <c r="O27" s="332"/>
      <c r="P27" s="332"/>
      <c r="Q27" s="332"/>
      <c r="R27" s="332"/>
      <c r="S27" s="332"/>
      <c r="T27" s="332"/>
    </row>
    <row r="31" spans="1:20" x14ac:dyDescent="0.2">
      <c r="G31" s="331"/>
    </row>
    <row r="32" spans="1:20" x14ac:dyDescent="0.2">
      <c r="G32" s="331"/>
    </row>
    <row r="33" spans="7:7" x14ac:dyDescent="0.2">
      <c r="G33" s="331"/>
    </row>
    <row r="34" spans="7:7" x14ac:dyDescent="0.2">
      <c r="G34" s="331"/>
    </row>
    <row r="35" spans="7:7" x14ac:dyDescent="0.2">
      <c r="G35" s="331"/>
    </row>
    <row r="36" spans="7:7" x14ac:dyDescent="0.2">
      <c r="G36" s="332"/>
    </row>
    <row r="37" spans="7:7" x14ac:dyDescent="0.2">
      <c r="G37" s="332"/>
    </row>
    <row r="38" spans="7:7" x14ac:dyDescent="0.2">
      <c r="G38" s="332"/>
    </row>
    <row r="39" spans="7:7" x14ac:dyDescent="0.2">
      <c r="G39" s="332"/>
    </row>
    <row r="40" spans="7:7" x14ac:dyDescent="0.2">
      <c r="G40" s="332"/>
    </row>
    <row r="41" spans="7:7" x14ac:dyDescent="0.2">
      <c r="G41" s="332"/>
    </row>
    <row r="42" spans="7:7" x14ac:dyDescent="0.2">
      <c r="G42" s="332"/>
    </row>
    <row r="43" spans="7:7" x14ac:dyDescent="0.2">
      <c r="G43" s="332"/>
    </row>
    <row r="44" spans="7:7" x14ac:dyDescent="0.2">
      <c r="G44" s="332"/>
    </row>
    <row r="45" spans="7:7" x14ac:dyDescent="0.2">
      <c r="G45" s="332"/>
    </row>
  </sheetData>
  <sheetProtection algorithmName="SHA-512" hashValue="uUJHqZeBHi4IYf8gHD0tC+smZPvMfiqmX/053Kwzb6vOTCPKaesxoR1JxWMv8UApm/oNOt8wimaUONbE+BT0Rg==" saltValue="Yp2dTwAjyPUr7a5hmE4TqA==" spinCount="100000" sheet="1" formatColumns="0" selectLockedCells="1" selectUnlockedCells="1"/>
  <dataConsolidate/>
  <mergeCells count="2">
    <mergeCell ref="A1:H1"/>
    <mergeCell ref="D2:J2"/>
  </mergeCells>
  <phoneticPr fontId="30" type="noConversion"/>
  <printOptions horizontalCentered="1" verticalCentered="1"/>
  <pageMargins left="0" right="0" top="0.15748031496062992" bottom="0.15748031496062992" header="0.19685039370078741" footer="0.19685039370078741"/>
  <pageSetup paperSize="9" scale="85" orientation="landscape" horizontalDpi="300" verticalDpi="4294967292" r:id="rId1"/>
  <headerFooter alignWithMargins="0"/>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oglio23"/>
  <dimension ref="A1:M23"/>
  <sheetViews>
    <sheetView showGridLines="0" workbookViewId="0">
      <pane xSplit="2" ySplit="6" topLeftCell="C7" activePane="bottomRight" state="frozen"/>
      <selection activeCell="A2" sqref="A2"/>
      <selection pane="topRight" activeCell="A2" sqref="A2"/>
      <selection pane="bottomLeft" activeCell="A2" sqref="A2"/>
      <selection pane="bottomRight" activeCell="B6" sqref="B6"/>
    </sheetView>
  </sheetViews>
  <sheetFormatPr defaultColWidth="9.33203125" defaultRowHeight="11.25" x14ac:dyDescent="0.2"/>
  <cols>
    <col min="1" max="1" width="35.6640625" style="3" customWidth="1"/>
    <col min="2" max="2" width="12.5" style="2" customWidth="1"/>
    <col min="3" max="3" width="11" style="2" customWidth="1"/>
    <col min="4" max="5" width="12.5" style="2" customWidth="1"/>
    <col min="6" max="7" width="10.6640625" style="2" customWidth="1"/>
    <col min="8" max="8" width="11" style="2" customWidth="1"/>
    <col min="9" max="10" width="12.5" style="2" customWidth="1"/>
    <col min="11" max="11" width="10.6640625" style="2" customWidth="1"/>
    <col min="12" max="12" width="10.6640625" style="3" customWidth="1"/>
    <col min="13" max="16384" width="9.33203125" style="3"/>
  </cols>
  <sheetData>
    <row r="1" spans="1:13" ht="43.5" customHeight="1" x14ac:dyDescent="0.2">
      <c r="A1" s="1447" t="str">
        <f>'t1'!A1</f>
        <v>ENTI PUBBLICI NON ECONOMICI - anno 2024</v>
      </c>
      <c r="B1" s="1447"/>
      <c r="C1" s="1447"/>
      <c r="D1" s="1447"/>
      <c r="E1" s="1447"/>
      <c r="F1" s="1447"/>
      <c r="G1" s="1447"/>
      <c r="H1" s="1447"/>
      <c r="I1" s="1447"/>
      <c r="J1" s="1447"/>
      <c r="K1" s="3"/>
      <c r="L1" s="285"/>
      <c r="M1"/>
    </row>
    <row r="2" spans="1:13" ht="21" customHeight="1" x14ac:dyDescent="0.2">
      <c r="B2" s="3"/>
      <c r="C2" s="3"/>
      <c r="D2" s="3"/>
      <c r="E2" s="1537"/>
      <c r="F2" s="1537"/>
      <c r="G2" s="1537"/>
      <c r="H2" s="1537"/>
      <c r="I2" s="1537"/>
      <c r="J2" s="1537"/>
      <c r="K2" s="1537"/>
      <c r="L2" s="1537"/>
      <c r="M2"/>
    </row>
    <row r="3" spans="1:13" ht="21" customHeight="1" x14ac:dyDescent="0.25">
      <c r="A3" s="173" t="str">
        <f>"Tavola di coerenza tra presenti al 31.12."&amp;'t1'!L1&amp;" rilevati nelle Tabelle 1, 7, 8 e 9 (Squadratura 2)"</f>
        <v>Tavola di coerenza tra presenti al 31.12.2024 rilevati nelle Tabelle 1, 7, 8 e 9 (Squadratura 2)</v>
      </c>
      <c r="C3" s="3"/>
      <c r="D3" s="3"/>
      <c r="E3" s="3"/>
      <c r="F3" s="3"/>
      <c r="G3" s="3"/>
      <c r="H3" s="3"/>
      <c r="I3" s="3"/>
      <c r="J3" s="3"/>
      <c r="K3" s="3"/>
    </row>
    <row r="4" spans="1:13" s="91" customFormat="1" ht="11.25" customHeight="1" x14ac:dyDescent="0.2">
      <c r="A4" s="165"/>
      <c r="B4" s="165"/>
      <c r="C4" s="1576" t="s">
        <v>241</v>
      </c>
      <c r="D4" s="1577"/>
      <c r="E4" s="1577"/>
      <c r="F4" s="1577"/>
      <c r="G4" s="1578"/>
      <c r="H4" s="1576" t="s">
        <v>242</v>
      </c>
      <c r="I4" s="1577"/>
      <c r="J4" s="1577"/>
      <c r="K4" s="1577"/>
      <c r="L4" s="1578"/>
    </row>
    <row r="5" spans="1:13" ht="70.5" customHeight="1" x14ac:dyDescent="0.2">
      <c r="A5" s="157" t="s">
        <v>181</v>
      </c>
      <c r="B5" s="157" t="s">
        <v>180</v>
      </c>
      <c r="C5" s="164" t="str">
        <f>"Presenti 31.12."&amp;'t1'!L1&amp;" (Tab 1)"</f>
        <v>Presenti 31.12.2024 (Tab 1)</v>
      </c>
      <c r="D5" s="161" t="s">
        <v>191</v>
      </c>
      <c r="E5" s="161" t="s">
        <v>192</v>
      </c>
      <c r="F5" s="161" t="s">
        <v>11</v>
      </c>
      <c r="G5" s="161" t="s">
        <v>190</v>
      </c>
      <c r="H5" s="164" t="str">
        <f>"Presenti 31.12."&amp;'t1'!L1&amp;" (Tab 1)"</f>
        <v>Presenti 31.12.2024 (Tab 1)</v>
      </c>
      <c r="I5" s="161" t="s">
        <v>191</v>
      </c>
      <c r="J5" s="161" t="s">
        <v>192</v>
      </c>
      <c r="K5" s="161" t="s">
        <v>11</v>
      </c>
      <c r="L5" s="161" t="s">
        <v>190</v>
      </c>
    </row>
    <row r="6" spans="1:13" x14ac:dyDescent="0.2">
      <c r="A6" s="158"/>
      <c r="B6" s="158"/>
      <c r="C6" s="166" t="s">
        <v>182</v>
      </c>
      <c r="D6" s="166" t="s">
        <v>183</v>
      </c>
      <c r="E6" s="166" t="s">
        <v>184</v>
      </c>
      <c r="F6" s="166" t="s">
        <v>185</v>
      </c>
      <c r="G6" s="167" t="s">
        <v>208</v>
      </c>
      <c r="H6" s="166" t="s">
        <v>186</v>
      </c>
      <c r="I6" s="166" t="s">
        <v>206</v>
      </c>
      <c r="J6" s="166" t="s">
        <v>188</v>
      </c>
      <c r="K6" s="166" t="s">
        <v>196</v>
      </c>
      <c r="L6" s="167" t="s">
        <v>209</v>
      </c>
    </row>
    <row r="7" spans="1:13" ht="14.1" customHeight="1" x14ac:dyDescent="0.2">
      <c r="A7" s="118" t="str">
        <f>'t1'!A6</f>
        <v>DIRETTORE GENERALE</v>
      </c>
      <c r="B7" s="163" t="str">
        <f>'t1'!B6</f>
        <v>0D0097</v>
      </c>
      <c r="C7" s="310">
        <f>'t1'!K6</f>
        <v>0</v>
      </c>
      <c r="D7" s="310">
        <f>'t7'!W6</f>
        <v>0</v>
      </c>
      <c r="E7" s="311">
        <f>'t8'!AA6</f>
        <v>0</v>
      </c>
      <c r="F7" s="311">
        <f>'t9'!O6</f>
        <v>0</v>
      </c>
      <c r="G7" s="92" t="str">
        <f t="shared" ref="G7:G17" si="0">IF(COUNTIF(C7:F7,C7)=4,"OK","ERRORE")</f>
        <v>OK</v>
      </c>
      <c r="H7" s="311">
        <f>'t1'!L6</f>
        <v>0</v>
      </c>
      <c r="I7" s="311">
        <f>'t7'!X6</f>
        <v>0</v>
      </c>
      <c r="J7" s="311">
        <f>'t8'!AB6</f>
        <v>0</v>
      </c>
      <c r="K7" s="310">
        <f>'t9'!P6</f>
        <v>0</v>
      </c>
      <c r="L7" s="92" t="str">
        <f t="shared" ref="L7:L17" si="1">IF(COUNTIF(H7:K7,H7)=4,"OK","ERRORE")</f>
        <v>OK</v>
      </c>
    </row>
    <row r="8" spans="1:13" ht="14.1" customHeight="1" x14ac:dyDescent="0.2">
      <c r="A8" s="118" t="str">
        <f>'t1'!A7</f>
        <v>DIRIGENTE I FASCIA</v>
      </c>
      <c r="B8" s="163" t="str">
        <f>'t1'!B7</f>
        <v>0D0077</v>
      </c>
      <c r="C8" s="310">
        <f>'t1'!K7</f>
        <v>0</v>
      </c>
      <c r="D8" s="310">
        <f>'t7'!W7</f>
        <v>0</v>
      </c>
      <c r="E8" s="311">
        <f>'t8'!AA7</f>
        <v>0</v>
      </c>
      <c r="F8" s="311">
        <f>'t9'!O7</f>
        <v>0</v>
      </c>
      <c r="G8" s="92" t="str">
        <f t="shared" si="0"/>
        <v>OK</v>
      </c>
      <c r="H8" s="311">
        <f>'t1'!L7</f>
        <v>0</v>
      </c>
      <c r="I8" s="311">
        <f>'t7'!X7</f>
        <v>0</v>
      </c>
      <c r="J8" s="311">
        <f>'t8'!AB7</f>
        <v>0</v>
      </c>
      <c r="K8" s="310">
        <f>'t9'!P7</f>
        <v>0</v>
      </c>
      <c r="L8" s="92" t="str">
        <f t="shared" si="1"/>
        <v>OK</v>
      </c>
    </row>
    <row r="9" spans="1:13" ht="14.1" customHeight="1" x14ac:dyDescent="0.2">
      <c r="A9" s="118" t="str">
        <f>'t1'!A8</f>
        <v>DIRIGENTE I FASCIA A TEMPO DETERM.</v>
      </c>
      <c r="B9" s="163" t="str">
        <f>'t1'!B8</f>
        <v>0D0078</v>
      </c>
      <c r="C9" s="310">
        <f>'t1'!K8</f>
        <v>0</v>
      </c>
      <c r="D9" s="310">
        <f>'t7'!W8</f>
        <v>0</v>
      </c>
      <c r="E9" s="311">
        <f>'t8'!AA8</f>
        <v>0</v>
      </c>
      <c r="F9" s="311">
        <f>'t9'!O8</f>
        <v>0</v>
      </c>
      <c r="G9" s="92" t="str">
        <f t="shared" si="0"/>
        <v>OK</v>
      </c>
      <c r="H9" s="311">
        <f>'t1'!L8</f>
        <v>0</v>
      </c>
      <c r="I9" s="311">
        <f>'t7'!X8</f>
        <v>0</v>
      </c>
      <c r="J9" s="311">
        <f>'t8'!AB8</f>
        <v>0</v>
      </c>
      <c r="K9" s="310">
        <f>'t9'!P8</f>
        <v>0</v>
      </c>
      <c r="L9" s="92" t="str">
        <f t="shared" si="1"/>
        <v>OK</v>
      </c>
    </row>
    <row r="10" spans="1:13" ht="14.1" customHeight="1" x14ac:dyDescent="0.2">
      <c r="A10" s="118" t="str">
        <f>'t1'!A9</f>
        <v>DIRIGENTE II FASCIA</v>
      </c>
      <c r="B10" s="163" t="str">
        <f>'t1'!B9</f>
        <v>0D0079</v>
      </c>
      <c r="C10" s="310">
        <f>'t1'!K9</f>
        <v>0</v>
      </c>
      <c r="D10" s="310">
        <f>'t7'!W9</f>
        <v>0</v>
      </c>
      <c r="E10" s="311">
        <f>'t8'!AA9</f>
        <v>0</v>
      </c>
      <c r="F10" s="311">
        <f>'t9'!O9</f>
        <v>0</v>
      </c>
      <c r="G10" s="92" t="str">
        <f t="shared" si="0"/>
        <v>OK</v>
      </c>
      <c r="H10" s="311">
        <f>'t1'!L9</f>
        <v>0</v>
      </c>
      <c r="I10" s="311">
        <f>'t7'!X9</f>
        <v>0</v>
      </c>
      <c r="J10" s="311">
        <f>'t8'!AB9</f>
        <v>0</v>
      </c>
      <c r="K10" s="310">
        <f>'t9'!P9</f>
        <v>0</v>
      </c>
      <c r="L10" s="92" t="str">
        <f t="shared" si="1"/>
        <v>OK</v>
      </c>
    </row>
    <row r="11" spans="1:13" ht="14.1" customHeight="1" x14ac:dyDescent="0.2">
      <c r="A11" s="118" t="str">
        <f>'t1'!A10</f>
        <v>DIRIGENTE II FASCIA A TEMPO DETERM.</v>
      </c>
      <c r="B11" s="163" t="str">
        <f>'t1'!B10</f>
        <v>0D0080</v>
      </c>
      <c r="C11" s="310">
        <f>'t1'!K10</f>
        <v>0</v>
      </c>
      <c r="D11" s="310">
        <f>'t7'!W10</f>
        <v>0</v>
      </c>
      <c r="E11" s="311">
        <f>'t8'!AA10</f>
        <v>0</v>
      </c>
      <c r="F11" s="311">
        <f>'t9'!O10</f>
        <v>0</v>
      </c>
      <c r="G11" s="92" t="str">
        <f t="shared" si="0"/>
        <v>OK</v>
      </c>
      <c r="H11" s="311">
        <f>'t1'!L10</f>
        <v>0</v>
      </c>
      <c r="I11" s="311">
        <f>'t7'!X10</f>
        <v>0</v>
      </c>
      <c r="J11" s="311">
        <f>'t8'!AB10</f>
        <v>0</v>
      </c>
      <c r="K11" s="310">
        <f>'t9'!P10</f>
        <v>0</v>
      </c>
      <c r="L11" s="92" t="str">
        <f t="shared" si="1"/>
        <v>OK</v>
      </c>
    </row>
    <row r="12" spans="1:13" ht="14.1" customHeight="1" x14ac:dyDescent="0.2">
      <c r="A12" s="118" t="str">
        <f>'t1'!A11</f>
        <v>MEDICO II FASCIA T.P.</v>
      </c>
      <c r="B12" s="163" t="str">
        <f>'t1'!B11</f>
        <v>0D0584</v>
      </c>
      <c r="C12" s="310">
        <f>'t1'!K11</f>
        <v>0</v>
      </c>
      <c r="D12" s="310">
        <f>'t7'!W11</f>
        <v>0</v>
      </c>
      <c r="E12" s="311">
        <f>'t8'!AA11</f>
        <v>0</v>
      </c>
      <c r="F12" s="311">
        <f>'t9'!O11</f>
        <v>0</v>
      </c>
      <c r="G12" s="92" t="str">
        <f t="shared" si="0"/>
        <v>OK</v>
      </c>
      <c r="H12" s="311">
        <f>'t1'!L11</f>
        <v>0</v>
      </c>
      <c r="I12" s="311">
        <f>'t7'!X11</f>
        <v>0</v>
      </c>
      <c r="J12" s="311">
        <f>'t8'!AB11</f>
        <v>0</v>
      </c>
      <c r="K12" s="310">
        <f>'t9'!P11</f>
        <v>0</v>
      </c>
      <c r="L12" s="92" t="str">
        <f t="shared" si="1"/>
        <v>OK</v>
      </c>
    </row>
    <row r="13" spans="1:13" ht="14.1" customHeight="1" x14ac:dyDescent="0.2">
      <c r="A13" s="118" t="str">
        <f>'t1'!A12</f>
        <v>MEDICO I FASCIA T.P.</v>
      </c>
      <c r="B13" s="163" t="str">
        <f>'t1'!B12</f>
        <v>0D0585</v>
      </c>
      <c r="C13" s="310">
        <f>'t1'!K12</f>
        <v>0</v>
      </c>
      <c r="D13" s="310">
        <f>'t7'!W12</f>
        <v>0</v>
      </c>
      <c r="E13" s="311">
        <f>'t8'!AA12</f>
        <v>0</v>
      </c>
      <c r="F13" s="311">
        <f>'t9'!O12</f>
        <v>0</v>
      </c>
      <c r="G13" s="92" t="str">
        <f t="shared" si="0"/>
        <v>OK</v>
      </c>
      <c r="H13" s="311">
        <f>'t1'!L12</f>
        <v>0</v>
      </c>
      <c r="I13" s="311">
        <f>'t7'!X12</f>
        <v>0</v>
      </c>
      <c r="J13" s="311">
        <f>'t8'!AB12</f>
        <v>0</v>
      </c>
      <c r="K13" s="310">
        <f>'t9'!P12</f>
        <v>0</v>
      </c>
      <c r="L13" s="92" t="str">
        <f t="shared" si="1"/>
        <v>OK</v>
      </c>
    </row>
    <row r="14" spans="1:13" ht="14.1" customHeight="1" x14ac:dyDescent="0.2">
      <c r="A14" s="118" t="str">
        <f>'t1'!A13</f>
        <v>MEDICO II FASCIA T.D.</v>
      </c>
      <c r="B14" s="163" t="str">
        <f>'t1'!B13</f>
        <v>0D0586</v>
      </c>
      <c r="C14" s="310">
        <f>'t1'!K13</f>
        <v>0</v>
      </c>
      <c r="D14" s="310">
        <f>'t7'!W13</f>
        <v>0</v>
      </c>
      <c r="E14" s="311">
        <f>'t8'!AA13</f>
        <v>0</v>
      </c>
      <c r="F14" s="311">
        <f>'t9'!O13</f>
        <v>0</v>
      </c>
      <c r="G14" s="92" t="str">
        <f t="shared" si="0"/>
        <v>OK</v>
      </c>
      <c r="H14" s="311">
        <f>'t1'!L13</f>
        <v>0</v>
      </c>
      <c r="I14" s="311">
        <f>'t7'!X13</f>
        <v>0</v>
      </c>
      <c r="J14" s="311">
        <f>'t8'!AB13</f>
        <v>0</v>
      </c>
      <c r="K14" s="310">
        <f>'t9'!P13</f>
        <v>0</v>
      </c>
      <c r="L14" s="92" t="str">
        <f t="shared" si="1"/>
        <v>OK</v>
      </c>
    </row>
    <row r="15" spans="1:13" ht="14.1" customHeight="1" x14ac:dyDescent="0.2">
      <c r="A15" s="118" t="str">
        <f>'t1'!A14</f>
        <v>MEDICO I FASCIA T.D.</v>
      </c>
      <c r="B15" s="163" t="str">
        <f>'t1'!B14</f>
        <v>0D0496</v>
      </c>
      <c r="C15" s="310">
        <f>'t1'!K14</f>
        <v>0</v>
      </c>
      <c r="D15" s="310">
        <f>'t7'!W14</f>
        <v>0</v>
      </c>
      <c r="E15" s="311">
        <f>'t8'!AA14</f>
        <v>0</v>
      </c>
      <c r="F15" s="311">
        <f>'t9'!O14</f>
        <v>0</v>
      </c>
      <c r="G15" s="92" t="str">
        <f t="shared" si="0"/>
        <v>OK</v>
      </c>
      <c r="H15" s="311">
        <f>'t1'!L14</f>
        <v>0</v>
      </c>
      <c r="I15" s="311">
        <f>'t7'!X14</f>
        <v>0</v>
      </c>
      <c r="J15" s="311">
        <f>'t8'!AB14</f>
        <v>0</v>
      </c>
      <c r="K15" s="310">
        <f>'t9'!P14</f>
        <v>0</v>
      </c>
      <c r="L15" s="92" t="str">
        <f t="shared" si="1"/>
        <v>OK</v>
      </c>
    </row>
    <row r="16" spans="1:13" ht="14.1" customHeight="1" x14ac:dyDescent="0.2">
      <c r="A16" s="118" t="str">
        <f>'t1'!A15</f>
        <v>PROFESSIONISTI II LIVELLO</v>
      </c>
      <c r="B16" s="163" t="str">
        <f>'t1'!B15</f>
        <v>0D0PR2</v>
      </c>
      <c r="C16" s="310">
        <f>'t1'!K15</f>
        <v>0</v>
      </c>
      <c r="D16" s="310">
        <f>'t7'!W15</f>
        <v>0</v>
      </c>
      <c r="E16" s="311">
        <f>'t8'!AA15</f>
        <v>0</v>
      </c>
      <c r="F16" s="311">
        <f>'t9'!O15</f>
        <v>0</v>
      </c>
      <c r="G16" s="92" t="str">
        <f t="shared" si="0"/>
        <v>OK</v>
      </c>
      <c r="H16" s="311">
        <f>'t1'!L15</f>
        <v>0</v>
      </c>
      <c r="I16" s="311">
        <f>'t7'!X15</f>
        <v>0</v>
      </c>
      <c r="J16" s="311">
        <f>'t8'!AB15</f>
        <v>0</v>
      </c>
      <c r="K16" s="310">
        <f>'t9'!P15</f>
        <v>0</v>
      </c>
      <c r="L16" s="92" t="str">
        <f t="shared" si="1"/>
        <v>OK</v>
      </c>
    </row>
    <row r="17" spans="1:12" ht="14.1" customHeight="1" x14ac:dyDescent="0.2">
      <c r="A17" s="118" t="str">
        <f>'t1'!A16</f>
        <v>PROFESSIONISTI I LIVELLO</v>
      </c>
      <c r="B17" s="163" t="str">
        <f>'t1'!B16</f>
        <v>0D0PR1</v>
      </c>
      <c r="C17" s="310">
        <f>'t1'!K16</f>
        <v>0</v>
      </c>
      <c r="D17" s="310">
        <f>'t7'!W16</f>
        <v>0</v>
      </c>
      <c r="E17" s="311">
        <f>'t8'!AA16</f>
        <v>0</v>
      </c>
      <c r="F17" s="311">
        <f>'t9'!O16</f>
        <v>0</v>
      </c>
      <c r="G17" s="92" t="str">
        <f t="shared" si="0"/>
        <v>OK</v>
      </c>
      <c r="H17" s="311">
        <f>'t1'!L16</f>
        <v>0</v>
      </c>
      <c r="I17" s="311">
        <f>'t7'!X16</f>
        <v>0</v>
      </c>
      <c r="J17" s="311">
        <f>'t8'!AB16</f>
        <v>0</v>
      </c>
      <c r="K17" s="310">
        <f>'t9'!P16</f>
        <v>0</v>
      </c>
      <c r="L17" s="92" t="str">
        <f t="shared" si="1"/>
        <v>OK</v>
      </c>
    </row>
    <row r="18" spans="1:12" ht="14.1" customHeight="1" x14ac:dyDescent="0.2">
      <c r="A18" s="118" t="str">
        <f>'t1'!A17</f>
        <v>ELEVATE PROFESSIONALITA'</v>
      </c>
      <c r="B18" s="163" t="str">
        <f>'t1'!B17</f>
        <v>0EP981</v>
      </c>
      <c r="C18" s="310">
        <f>'t1'!K17</f>
        <v>0</v>
      </c>
      <c r="D18" s="310">
        <f>'t7'!W17</f>
        <v>0</v>
      </c>
      <c r="E18" s="311">
        <f>'t8'!AA17</f>
        <v>0</v>
      </c>
      <c r="F18" s="311">
        <f>'t9'!O17</f>
        <v>0</v>
      </c>
      <c r="G18" s="92" t="str">
        <f t="shared" ref="G18:G23" si="2">IF(COUNTIF(C18:F18,C18)=4,"OK","ERRORE")</f>
        <v>OK</v>
      </c>
      <c r="H18" s="311">
        <f>'t1'!L17</f>
        <v>0</v>
      </c>
      <c r="I18" s="311">
        <f>'t7'!X17</f>
        <v>0</v>
      </c>
      <c r="J18" s="311">
        <f>'t8'!AB17</f>
        <v>0</v>
      </c>
      <c r="K18" s="310">
        <f>'t9'!P17</f>
        <v>0</v>
      </c>
      <c r="L18" s="92" t="str">
        <f t="shared" ref="L18:L23" si="3">IF(COUNTIF(H18:K18,H18)=4,"OK","ERRORE")</f>
        <v>OK</v>
      </c>
    </row>
    <row r="19" spans="1:12" ht="14.1" customHeight="1" x14ac:dyDescent="0.2">
      <c r="A19" s="118" t="str">
        <f>'t1'!A18</f>
        <v>FUNZIONARI</v>
      </c>
      <c r="B19" s="163" t="str">
        <f>'t1'!B18</f>
        <v>0FZ000</v>
      </c>
      <c r="C19" s="310">
        <f>'t1'!K18</f>
        <v>0</v>
      </c>
      <c r="D19" s="310">
        <f>'t7'!W18</f>
        <v>0</v>
      </c>
      <c r="E19" s="311">
        <f>'t8'!AA18</f>
        <v>0</v>
      </c>
      <c r="F19" s="311">
        <f>'t9'!O18</f>
        <v>0</v>
      </c>
      <c r="G19" s="92" t="str">
        <f t="shared" si="2"/>
        <v>OK</v>
      </c>
      <c r="H19" s="311">
        <f>'t1'!L18</f>
        <v>0</v>
      </c>
      <c r="I19" s="311">
        <f>'t7'!X18</f>
        <v>0</v>
      </c>
      <c r="J19" s="311">
        <f>'t8'!AB18</f>
        <v>0</v>
      </c>
      <c r="K19" s="310">
        <f>'t9'!P18</f>
        <v>0</v>
      </c>
      <c r="L19" s="92" t="str">
        <f t="shared" si="3"/>
        <v>OK</v>
      </c>
    </row>
    <row r="20" spans="1:12" ht="14.1" customHeight="1" x14ac:dyDescent="0.2">
      <c r="A20" s="118" t="str">
        <f>'t1'!A19</f>
        <v>ASSISTENTI</v>
      </c>
      <c r="B20" s="163" t="str">
        <f>'t1'!B19</f>
        <v>0AS000</v>
      </c>
      <c r="C20" s="310">
        <f>'t1'!K19</f>
        <v>0</v>
      </c>
      <c r="D20" s="310">
        <f>'t7'!W19</f>
        <v>0</v>
      </c>
      <c r="E20" s="311">
        <f>'t8'!AA19</f>
        <v>0</v>
      </c>
      <c r="F20" s="311">
        <f>'t9'!O19</f>
        <v>0</v>
      </c>
      <c r="G20" s="92" t="str">
        <f t="shared" si="2"/>
        <v>OK</v>
      </c>
      <c r="H20" s="311">
        <f>'t1'!L19</f>
        <v>1</v>
      </c>
      <c r="I20" s="311">
        <f>'t7'!X19</f>
        <v>1</v>
      </c>
      <c r="J20" s="311">
        <f>'t8'!AB19</f>
        <v>1</v>
      </c>
      <c r="K20" s="310">
        <f>'t9'!P19</f>
        <v>1</v>
      </c>
      <c r="L20" s="92" t="str">
        <f t="shared" si="3"/>
        <v>OK</v>
      </c>
    </row>
    <row r="21" spans="1:12" ht="14.1" customHeight="1" x14ac:dyDescent="0.2">
      <c r="A21" s="118" t="str">
        <f>'t1'!A20</f>
        <v>OPERATORI</v>
      </c>
      <c r="B21" s="163" t="str">
        <f>'t1'!B20</f>
        <v>0OP000</v>
      </c>
      <c r="C21" s="310">
        <f>'t1'!K20</f>
        <v>0</v>
      </c>
      <c r="D21" s="310">
        <f>'t7'!W20</f>
        <v>0</v>
      </c>
      <c r="E21" s="311">
        <f>'t8'!AA20</f>
        <v>0</v>
      </c>
      <c r="F21" s="311">
        <f>'t9'!O20</f>
        <v>0</v>
      </c>
      <c r="G21" s="92" t="str">
        <f t="shared" si="2"/>
        <v>OK</v>
      </c>
      <c r="H21" s="311">
        <f>'t1'!L20</f>
        <v>0</v>
      </c>
      <c r="I21" s="311">
        <f>'t7'!X20</f>
        <v>0</v>
      </c>
      <c r="J21" s="311">
        <f>'t8'!AB20</f>
        <v>0</v>
      </c>
      <c r="K21" s="310">
        <f>'t9'!P20</f>
        <v>0</v>
      </c>
      <c r="L21" s="92" t="str">
        <f t="shared" si="3"/>
        <v>OK</v>
      </c>
    </row>
    <row r="22" spans="1:12" ht="14.1" customHeight="1" x14ac:dyDescent="0.2">
      <c r="A22" s="118" t="str">
        <f>'t1'!A21</f>
        <v>CONTRATTISTI</v>
      </c>
      <c r="B22" s="163" t="str">
        <f>'t1'!B21</f>
        <v>000061</v>
      </c>
      <c r="C22" s="310">
        <f>'t1'!K21</f>
        <v>0</v>
      </c>
      <c r="D22" s="310">
        <f>'t7'!W21</f>
        <v>0</v>
      </c>
      <c r="E22" s="311">
        <f>'t8'!AA21</f>
        <v>0</v>
      </c>
      <c r="F22" s="311">
        <f>'t9'!O21</f>
        <v>0</v>
      </c>
      <c r="G22" s="92" t="str">
        <f t="shared" si="2"/>
        <v>OK</v>
      </c>
      <c r="H22" s="311">
        <f>'t1'!L21</f>
        <v>0</v>
      </c>
      <c r="I22" s="311">
        <f>'t7'!X21</f>
        <v>0</v>
      </c>
      <c r="J22" s="311">
        <f>'t8'!AB21</f>
        <v>0</v>
      </c>
      <c r="K22" s="310">
        <f>'t9'!P21</f>
        <v>0</v>
      </c>
      <c r="L22" s="92" t="str">
        <f t="shared" si="3"/>
        <v>OK</v>
      </c>
    </row>
    <row r="23" spans="1:12" ht="15.75" customHeight="1" x14ac:dyDescent="0.2">
      <c r="A23" s="118" t="str">
        <f>'t1'!A22</f>
        <v>TOTALE</v>
      </c>
      <c r="B23" s="155"/>
      <c r="C23" s="311">
        <f>SUM(C7:C22)</f>
        <v>0</v>
      </c>
      <c r="D23" s="311">
        <f>SUM(D7:D22)</f>
        <v>0</v>
      </c>
      <c r="E23" s="311">
        <f>SUM(E7:E22)</f>
        <v>0</v>
      </c>
      <c r="F23" s="311">
        <f>SUM(F7:F22)</f>
        <v>0</v>
      </c>
      <c r="G23" s="92" t="str">
        <f t="shared" si="2"/>
        <v>OK</v>
      </c>
      <c r="H23" s="311">
        <f>SUM(H7:H22)</f>
        <v>1</v>
      </c>
      <c r="I23" s="311">
        <f>SUM(I7:I22)</f>
        <v>1</v>
      </c>
      <c r="J23" s="311">
        <f>SUM(J7:J22)</f>
        <v>1</v>
      </c>
      <c r="K23" s="311">
        <f>SUM(K7:K22)</f>
        <v>1</v>
      </c>
      <c r="L23" s="92" t="str">
        <f t="shared" si="3"/>
        <v>OK</v>
      </c>
    </row>
  </sheetData>
  <sheetProtection algorithmName="SHA-512" hashValue="cBSqCKRSw07APZFNchSnOpXMCEutArVKHwcAqko8nKFpI+3mK5DlkLLnCmMHfusBnHf2UDGOIF2Yrv6U72MhLQ==" saltValue="U44O/Gc94Vhj/6W8CPM5Sw==" spinCount="100000" sheet="1" formatColumns="0" selectLockedCells="1" selectUnlockedCells="1"/>
  <mergeCells count="4">
    <mergeCell ref="C4:G4"/>
    <mergeCell ref="H4:L4"/>
    <mergeCell ref="E2:L2"/>
    <mergeCell ref="A1:J1"/>
  </mergeCells>
  <phoneticPr fontId="30" type="noConversion"/>
  <printOptions horizontalCentered="1" verticalCentered="1"/>
  <pageMargins left="0" right="0" top="0.15748031496062992" bottom="0.15748031496062992" header="0.19685039370078741" footer="0.15748031496062992"/>
  <pageSetup paperSize="9" scale="80" orientation="landscape" horizontalDpi="300" verticalDpi="4294967292"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oglio24">
    <tabColor theme="0"/>
  </sheetPr>
  <dimension ref="A1:Z24"/>
  <sheetViews>
    <sheetView showGridLines="0" workbookViewId="0">
      <pane xSplit="2" ySplit="7" topLeftCell="M14" activePane="bottomRight" state="frozen"/>
      <selection activeCell="A2" sqref="A2"/>
      <selection pane="topRight" activeCell="A2" sqref="A2"/>
      <selection pane="bottomLeft" activeCell="A2" sqref="A2"/>
      <selection pane="bottomRight" activeCell="B7" sqref="B7"/>
    </sheetView>
  </sheetViews>
  <sheetFormatPr defaultColWidth="9.33203125" defaultRowHeight="11.25" x14ac:dyDescent="0.2"/>
  <cols>
    <col min="1" max="1" width="37.33203125" style="3" customWidth="1"/>
    <col min="2" max="2" width="11" style="2" customWidth="1"/>
    <col min="3" max="3" width="10.6640625" style="2" customWidth="1"/>
    <col min="4" max="5" width="12.6640625" style="2" customWidth="1"/>
    <col min="6" max="6" width="13.6640625" style="2" customWidth="1"/>
    <col min="7" max="10" width="12.6640625" style="2" customWidth="1"/>
    <col min="11" max="13" width="13.33203125" style="2" customWidth="1"/>
    <col min="14" max="14" width="12.6640625" style="2" bestFit="1" customWidth="1"/>
    <col min="15" max="15" width="10.6640625" style="2" customWidth="1"/>
    <col min="16" max="22" width="12.6640625" style="2" customWidth="1"/>
    <col min="23" max="25" width="13.33203125" style="2" customWidth="1"/>
    <col min="26" max="26" width="12.6640625" style="2" bestFit="1" customWidth="1"/>
    <col min="27" max="16384" width="9.33203125" style="3"/>
  </cols>
  <sheetData>
    <row r="1" spans="1:26" ht="30" customHeight="1" x14ac:dyDescent="0.2">
      <c r="A1" s="1447" t="str">
        <f>'t1'!A1</f>
        <v>ENTI PUBBLICI NON ECONOMICI - anno 2024</v>
      </c>
      <c r="B1" s="1447"/>
      <c r="C1" s="1447"/>
      <c r="D1" s="1447"/>
      <c r="E1" s="1447"/>
      <c r="F1" s="1447"/>
      <c r="G1" s="1447"/>
      <c r="H1" s="1447"/>
      <c r="I1" s="1447"/>
      <c r="J1" s="1447"/>
      <c r="K1" s="1447"/>
      <c r="L1" s="1447"/>
      <c r="M1" s="1447"/>
      <c r="N1" s="1447"/>
      <c r="O1" s="1447"/>
      <c r="P1" s="1447"/>
      <c r="Q1" s="1447"/>
      <c r="R1" s="1447"/>
      <c r="S1" s="1447"/>
      <c r="T1" s="1447"/>
      <c r="U1" s="1447"/>
      <c r="V1" s="1447"/>
      <c r="W1" s="1447"/>
      <c r="X1" s="3"/>
      <c r="Y1" s="3"/>
      <c r="Z1" s="608"/>
    </row>
    <row r="2" spans="1:26" ht="36" customHeight="1" x14ac:dyDescent="0.25">
      <c r="A2" s="1582" t="s">
        <v>565</v>
      </c>
      <c r="B2" s="1582"/>
      <c r="C2" s="1582"/>
      <c r="D2" s="1582"/>
      <c r="E2" s="1582"/>
      <c r="F2" s="1582"/>
      <c r="G2" s="1582"/>
      <c r="H2" s="1582"/>
      <c r="I2" s="1582"/>
      <c r="J2" s="1582"/>
      <c r="K2" s="1582"/>
      <c r="L2" s="1582"/>
      <c r="M2" s="666"/>
      <c r="N2" s="434"/>
      <c r="O2" s="434"/>
      <c r="P2" s="434"/>
      <c r="Q2" s="434"/>
      <c r="R2" s="434"/>
      <c r="S2" s="434"/>
      <c r="T2" s="434"/>
      <c r="U2" s="434"/>
      <c r="V2" s="434"/>
      <c r="W2" s="434"/>
      <c r="X2" s="434"/>
      <c r="Y2" s="666"/>
      <c r="Z2" s="434"/>
    </row>
    <row r="3" spans="1:26" ht="18.75" customHeight="1" x14ac:dyDescent="0.25">
      <c r="A3" s="173" t="str">
        <f>"Tavola di coerenza tra presenti al 31.12."&amp;'t1'!L1&amp;" rilevati in Tabella 1 e 3 con i presenti rilevati in Tabella 10 (Squadratura 3)(*)"</f>
        <v>Tavola di coerenza tra presenti al 31.12.2024 rilevati in Tabella 1 e 3 con i presenti rilevati in Tabella 10 (Squadratura 3)(*)</v>
      </c>
      <c r="C3" s="3"/>
      <c r="D3" s="3"/>
      <c r="E3" s="3"/>
      <c r="F3" s="3"/>
      <c r="G3" s="3"/>
      <c r="H3" s="3"/>
      <c r="I3" s="3"/>
      <c r="J3" s="3"/>
      <c r="K3" s="3"/>
      <c r="L3" s="3"/>
      <c r="M3" s="3"/>
      <c r="N3" s="3"/>
      <c r="O3" s="3"/>
      <c r="P3" s="3"/>
      <c r="Q3" s="3"/>
      <c r="R3" s="3"/>
      <c r="S3" s="3"/>
      <c r="T3" s="3"/>
      <c r="U3" s="3"/>
      <c r="V3" s="3"/>
      <c r="W3" s="3"/>
      <c r="X3" s="3"/>
      <c r="Y3" s="3"/>
      <c r="Z3" s="3"/>
    </row>
    <row r="4" spans="1:26" ht="12" x14ac:dyDescent="0.2">
      <c r="A4" s="290" t="s">
        <v>211</v>
      </c>
      <c r="C4" s="3"/>
      <c r="D4" s="3"/>
      <c r="E4" s="3"/>
      <c r="F4" s="3"/>
      <c r="G4" s="3"/>
      <c r="H4" s="3"/>
      <c r="I4" s="3"/>
      <c r="J4" s="3"/>
      <c r="K4" s="3"/>
      <c r="L4" s="3"/>
      <c r="M4" s="3"/>
      <c r="N4" s="3"/>
      <c r="O4" s="3"/>
      <c r="P4" s="3"/>
      <c r="Q4" s="3"/>
      <c r="R4" s="3"/>
      <c r="S4" s="3"/>
      <c r="T4" s="3"/>
      <c r="U4" s="3"/>
      <c r="V4" s="3"/>
      <c r="W4" s="3"/>
      <c r="X4" s="3"/>
      <c r="Y4" s="3"/>
      <c r="Z4" s="3"/>
    </row>
    <row r="5" spans="1:26" ht="12.75" x14ac:dyDescent="0.2">
      <c r="A5" s="158"/>
      <c r="B5" s="92"/>
      <c r="C5" s="1579" t="s">
        <v>241</v>
      </c>
      <c r="D5" s="1580"/>
      <c r="E5" s="1580"/>
      <c r="F5" s="1580"/>
      <c r="G5" s="1580"/>
      <c r="H5" s="1580"/>
      <c r="I5" s="1580"/>
      <c r="J5" s="1580"/>
      <c r="K5" s="1580"/>
      <c r="L5" s="1580"/>
      <c r="M5" s="1580"/>
      <c r="N5" s="1580"/>
      <c r="O5" s="1579" t="s">
        <v>242</v>
      </c>
      <c r="P5" s="1580"/>
      <c r="Q5" s="1580"/>
      <c r="R5" s="1580"/>
      <c r="S5" s="1580"/>
      <c r="T5" s="1580"/>
      <c r="U5" s="1580"/>
      <c r="V5" s="1580"/>
      <c r="W5" s="1580"/>
      <c r="X5" s="1580"/>
      <c r="Y5" s="1580"/>
      <c r="Z5" s="1581"/>
    </row>
    <row r="6" spans="1:26" s="172" customFormat="1" ht="64.5" customHeight="1" x14ac:dyDescent="0.15">
      <c r="A6" s="161" t="s">
        <v>181</v>
      </c>
      <c r="B6" s="161" t="s">
        <v>180</v>
      </c>
      <c r="C6" s="161" t="str">
        <f>"Presenti 31.12."&amp;'t1'!L1&amp;" (Tab 1)"</f>
        <v>Presenti 31.12.2024 (Tab 1)</v>
      </c>
      <c r="D6" s="161" t="s">
        <v>194</v>
      </c>
      <c r="E6" s="161" t="s">
        <v>193</v>
      </c>
      <c r="F6" s="161" t="s">
        <v>300</v>
      </c>
      <c r="G6" s="161" t="s">
        <v>210</v>
      </c>
      <c r="H6" s="161" t="s">
        <v>195</v>
      </c>
      <c r="I6" s="161" t="s">
        <v>301</v>
      </c>
      <c r="J6" s="514" t="s">
        <v>712</v>
      </c>
      <c r="K6" s="161" t="s">
        <v>212</v>
      </c>
      <c r="L6" s="161" t="s">
        <v>213</v>
      </c>
      <c r="M6" s="514" t="s">
        <v>560</v>
      </c>
      <c r="N6" s="514" t="s">
        <v>561</v>
      </c>
      <c r="O6" s="161" t="str">
        <f>"Presenti 31.12."&amp;'t1'!L1&amp;" (Tab 1)"</f>
        <v>Presenti 31.12.2024 (Tab 1)</v>
      </c>
      <c r="P6" s="161" t="s">
        <v>194</v>
      </c>
      <c r="Q6" s="161" t="s">
        <v>193</v>
      </c>
      <c r="R6" s="161" t="s">
        <v>300</v>
      </c>
      <c r="S6" s="161" t="s">
        <v>210</v>
      </c>
      <c r="T6" s="161" t="s">
        <v>195</v>
      </c>
      <c r="U6" s="161" t="s">
        <v>301</v>
      </c>
      <c r="V6" s="514" t="s">
        <v>712</v>
      </c>
      <c r="W6" s="161" t="s">
        <v>212</v>
      </c>
      <c r="X6" s="161" t="s">
        <v>213</v>
      </c>
      <c r="Y6" s="514" t="s">
        <v>560</v>
      </c>
      <c r="Z6" s="514" t="s">
        <v>561</v>
      </c>
    </row>
    <row r="7" spans="1:26" s="170" customFormat="1" ht="21.75" x14ac:dyDescent="0.2">
      <c r="A7" s="169"/>
      <c r="B7" s="169"/>
      <c r="C7" s="166" t="s">
        <v>182</v>
      </c>
      <c r="D7" s="166" t="s">
        <v>183</v>
      </c>
      <c r="E7" s="166" t="s">
        <v>184</v>
      </c>
      <c r="F7" s="166" t="s">
        <v>185</v>
      </c>
      <c r="G7" s="167" t="s">
        <v>186</v>
      </c>
      <c r="H7" s="167" t="s">
        <v>206</v>
      </c>
      <c r="I7" s="167" t="s">
        <v>188</v>
      </c>
      <c r="J7" s="167" t="s">
        <v>197</v>
      </c>
      <c r="K7" s="167" t="s">
        <v>4</v>
      </c>
      <c r="L7" s="167" t="s">
        <v>5</v>
      </c>
      <c r="M7" s="167" t="s">
        <v>562</v>
      </c>
      <c r="N7" s="167" t="s">
        <v>6</v>
      </c>
      <c r="O7" s="166" t="s">
        <v>198</v>
      </c>
      <c r="P7" s="166" t="s">
        <v>199</v>
      </c>
      <c r="Q7" s="166" t="s">
        <v>200</v>
      </c>
      <c r="R7" s="166" t="s">
        <v>302</v>
      </c>
      <c r="S7" s="167" t="s">
        <v>201</v>
      </c>
      <c r="T7" s="167" t="s">
        <v>303</v>
      </c>
      <c r="U7" s="167" t="s">
        <v>304</v>
      </c>
      <c r="V7" s="167" t="s">
        <v>305</v>
      </c>
      <c r="W7" s="167" t="s">
        <v>7</v>
      </c>
      <c r="X7" s="167" t="s">
        <v>8</v>
      </c>
      <c r="Y7" s="167" t="s">
        <v>563</v>
      </c>
      <c r="Z7" s="167" t="s">
        <v>9</v>
      </c>
    </row>
    <row r="8" spans="1:26" ht="14.1" customHeight="1" x14ac:dyDescent="0.2">
      <c r="A8" s="118" t="str">
        <f>'t1'!A6</f>
        <v>DIRETTORE GENERALE</v>
      </c>
      <c r="B8" s="163" t="str">
        <f>'t1'!B6</f>
        <v>0D0097</v>
      </c>
      <c r="C8" s="310">
        <f>'t1'!K6</f>
        <v>0</v>
      </c>
      <c r="D8" s="310">
        <f>'t3'!K6</f>
        <v>0</v>
      </c>
      <c r="E8" s="311">
        <f>'t3'!M6</f>
        <v>0</v>
      </c>
      <c r="F8" s="311">
        <f>'t3'!O6</f>
        <v>0</v>
      </c>
      <c r="G8" s="311">
        <f>'t3'!C6</f>
        <v>0</v>
      </c>
      <c r="H8" s="311">
        <f>'t3'!E6</f>
        <v>0</v>
      </c>
      <c r="I8" s="311">
        <f>'t3'!G6</f>
        <v>0</v>
      </c>
      <c r="J8" s="311">
        <f>'t3'!I6</f>
        <v>0</v>
      </c>
      <c r="K8" s="311">
        <f>C8+D8+E8+F8-G8-H8-I8-J8</f>
        <v>0</v>
      </c>
      <c r="L8" s="311">
        <f>'t10'!AU6</f>
        <v>0</v>
      </c>
      <c r="M8" s="596" t="str">
        <f>IF(C8&lt;(G8+H8+I8+J8),"ERRORE","OK")</f>
        <v>OK</v>
      </c>
      <c r="N8" s="92" t="str">
        <f>IF(K8=L8,"OK","ERRORE")</f>
        <v>OK</v>
      </c>
      <c r="O8" s="310">
        <f>'t1'!L6</f>
        <v>0</v>
      </c>
      <c r="P8" s="310">
        <f>'t3'!L6</f>
        <v>0</v>
      </c>
      <c r="Q8" s="311">
        <f>'t3'!N6</f>
        <v>0</v>
      </c>
      <c r="R8" s="311">
        <f>'t3'!P6</f>
        <v>0</v>
      </c>
      <c r="S8" s="311">
        <f>'t3'!D6</f>
        <v>0</v>
      </c>
      <c r="T8" s="311">
        <f>'t3'!F6</f>
        <v>0</v>
      </c>
      <c r="U8" s="311">
        <f>'t3'!H6</f>
        <v>0</v>
      </c>
      <c r="V8" s="311">
        <f>'t3'!J6</f>
        <v>0</v>
      </c>
      <c r="W8" s="311">
        <f>O8+P8+Q8+R8-S8-T8-U8-V8</f>
        <v>0</v>
      </c>
      <c r="X8" s="311">
        <f>'t10'!AV6</f>
        <v>0</v>
      </c>
      <c r="Y8" s="596" t="str">
        <f>IF(O8&lt;(S8+T8+U8+V8),"ERRORE","OK")</f>
        <v>OK</v>
      </c>
      <c r="Z8" s="168" t="str">
        <f>IF(W8=X8,"OK","ERRORE")</f>
        <v>OK</v>
      </c>
    </row>
    <row r="9" spans="1:26" ht="14.1" customHeight="1" x14ac:dyDescent="0.2">
      <c r="A9" s="118" t="str">
        <f>'t1'!A7</f>
        <v>DIRIGENTE I FASCIA</v>
      </c>
      <c r="B9" s="163" t="str">
        <f>'t1'!B7</f>
        <v>0D0077</v>
      </c>
      <c r="C9" s="310">
        <f>'t1'!K7</f>
        <v>0</v>
      </c>
      <c r="D9" s="310">
        <f>'t3'!K7</f>
        <v>0</v>
      </c>
      <c r="E9" s="311">
        <f>'t3'!M7</f>
        <v>0</v>
      </c>
      <c r="F9" s="311">
        <f>'t3'!O7</f>
        <v>0</v>
      </c>
      <c r="G9" s="311">
        <f>'t3'!C7</f>
        <v>0</v>
      </c>
      <c r="H9" s="311">
        <f>'t3'!E7</f>
        <v>0</v>
      </c>
      <c r="I9" s="311">
        <f>'t3'!G7</f>
        <v>0</v>
      </c>
      <c r="J9" s="311">
        <f>'t3'!I7</f>
        <v>0</v>
      </c>
      <c r="K9" s="311">
        <f>C9+D9+E9+F9-G9-H9-I9-J9</f>
        <v>0</v>
      </c>
      <c r="L9" s="311">
        <f>'t10'!AU7</f>
        <v>0</v>
      </c>
      <c r="M9" s="596" t="str">
        <f>IF(C9&lt;(G9+H9+I9+J9),"ERRORE","OK")</f>
        <v>OK</v>
      </c>
      <c r="N9" s="92" t="str">
        <f>IF(K9=L9,"OK","ERRORE")</f>
        <v>OK</v>
      </c>
      <c r="O9" s="310">
        <f>'t1'!L7</f>
        <v>0</v>
      </c>
      <c r="P9" s="310">
        <f>'t3'!L7</f>
        <v>0</v>
      </c>
      <c r="Q9" s="311">
        <f>'t3'!N7</f>
        <v>0</v>
      </c>
      <c r="R9" s="311">
        <f>'t3'!P7</f>
        <v>0</v>
      </c>
      <c r="S9" s="311">
        <f>'t3'!D7</f>
        <v>0</v>
      </c>
      <c r="T9" s="311">
        <f>'t3'!F7</f>
        <v>0</v>
      </c>
      <c r="U9" s="311">
        <f>'t3'!H7</f>
        <v>0</v>
      </c>
      <c r="V9" s="311">
        <f>'t3'!J7</f>
        <v>0</v>
      </c>
      <c r="W9" s="311">
        <f>O9+P9+Q9+R9-S9-T9-U9-V9</f>
        <v>0</v>
      </c>
      <c r="X9" s="311">
        <f>'t10'!AV7</f>
        <v>0</v>
      </c>
      <c r="Y9" s="596" t="str">
        <f>IF(O9&lt;(S9+T9+U9+V9),"ERRORE","OK")</f>
        <v>OK</v>
      </c>
      <c r="Z9" s="168" t="str">
        <f>IF(W9=X9,"OK","ERRORE")</f>
        <v>OK</v>
      </c>
    </row>
    <row r="10" spans="1:26" ht="14.1" customHeight="1" x14ac:dyDescent="0.2">
      <c r="A10" s="118" t="str">
        <f>'t1'!A8</f>
        <v>DIRIGENTE I FASCIA A TEMPO DETERM.</v>
      </c>
      <c r="B10" s="163" t="str">
        <f>'t1'!B8</f>
        <v>0D0078</v>
      </c>
      <c r="C10" s="310">
        <f>'t1'!K8</f>
        <v>0</v>
      </c>
      <c r="D10" s="310">
        <f>'t3'!K8</f>
        <v>0</v>
      </c>
      <c r="E10" s="311">
        <f>'t3'!M8</f>
        <v>0</v>
      </c>
      <c r="F10" s="311">
        <f>'t3'!O8</f>
        <v>0</v>
      </c>
      <c r="G10" s="311">
        <f>'t3'!C8</f>
        <v>0</v>
      </c>
      <c r="H10" s="311">
        <f>'t3'!E8</f>
        <v>0</v>
      </c>
      <c r="I10" s="311">
        <f>'t3'!G8</f>
        <v>0</v>
      </c>
      <c r="J10" s="311">
        <f>'t3'!I8</f>
        <v>0</v>
      </c>
      <c r="K10" s="311">
        <f>C10+D10+E10+F10-G10-H10-I10-J10</f>
        <v>0</v>
      </c>
      <c r="L10" s="311">
        <f>'t10'!AU8</f>
        <v>0</v>
      </c>
      <c r="M10" s="596" t="str">
        <f>IF(C10&lt;(G10+H10+I10+J10),"ERRORE","OK")</f>
        <v>OK</v>
      </c>
      <c r="N10" s="92" t="str">
        <f>IF(K10=L10,"OK","ERRORE")</f>
        <v>OK</v>
      </c>
      <c r="O10" s="310">
        <f>'t1'!L8</f>
        <v>0</v>
      </c>
      <c r="P10" s="310">
        <f>'t3'!L8</f>
        <v>0</v>
      </c>
      <c r="Q10" s="311">
        <f>'t3'!N8</f>
        <v>0</v>
      </c>
      <c r="R10" s="311">
        <f>'t3'!P8</f>
        <v>0</v>
      </c>
      <c r="S10" s="311">
        <f>'t3'!D8</f>
        <v>0</v>
      </c>
      <c r="T10" s="311">
        <f>'t3'!F8</f>
        <v>0</v>
      </c>
      <c r="U10" s="311">
        <f>'t3'!H8</f>
        <v>0</v>
      </c>
      <c r="V10" s="311">
        <f>'t3'!J8</f>
        <v>0</v>
      </c>
      <c r="W10" s="311">
        <f>O10+P10+Q10+R10-S10-T10-U10-V10</f>
        <v>0</v>
      </c>
      <c r="X10" s="311">
        <f>'t10'!AV8</f>
        <v>0</v>
      </c>
      <c r="Y10" s="596" t="str">
        <f>IF(O10&lt;(S10+T10+U10+V10),"ERRORE","OK")</f>
        <v>OK</v>
      </c>
      <c r="Z10" s="168" t="str">
        <f>IF(W10=X10,"OK","ERRORE")</f>
        <v>OK</v>
      </c>
    </row>
    <row r="11" spans="1:26" ht="14.1" customHeight="1" x14ac:dyDescent="0.2">
      <c r="A11" s="118" t="str">
        <f>'t1'!A9</f>
        <v>DIRIGENTE II FASCIA</v>
      </c>
      <c r="B11" s="163" t="str">
        <f>'t1'!B9</f>
        <v>0D0079</v>
      </c>
      <c r="C11" s="310">
        <f>'t1'!K9</f>
        <v>0</v>
      </c>
      <c r="D11" s="310">
        <f>'t3'!K9</f>
        <v>0</v>
      </c>
      <c r="E11" s="311">
        <f>'t3'!M9</f>
        <v>0</v>
      </c>
      <c r="F11" s="311">
        <f>'t3'!O9</f>
        <v>0</v>
      </c>
      <c r="G11" s="311">
        <f>'t3'!C9</f>
        <v>0</v>
      </c>
      <c r="H11" s="311">
        <f>'t3'!E9</f>
        <v>0</v>
      </c>
      <c r="I11" s="311">
        <f>'t3'!G9</f>
        <v>0</v>
      </c>
      <c r="J11" s="311">
        <f>'t3'!I9</f>
        <v>0</v>
      </c>
      <c r="K11" s="311">
        <f t="shared" ref="K11:K23" si="0">C11+D11+E11+F11-G11-H11-I11-J11</f>
        <v>0</v>
      </c>
      <c r="L11" s="311">
        <f>'t10'!AU9</f>
        <v>0</v>
      </c>
      <c r="M11" s="596" t="str">
        <f t="shared" ref="M11:M23" si="1">IF(C11&lt;(G11+H11+I11+J11),"ERRORE","OK")</f>
        <v>OK</v>
      </c>
      <c r="N11" s="92" t="str">
        <f t="shared" ref="N11:N23" si="2">IF(K11=L11,"OK","ERRORE")</f>
        <v>OK</v>
      </c>
      <c r="O11" s="310">
        <f>'t1'!L9</f>
        <v>0</v>
      </c>
      <c r="P11" s="310">
        <f>'t3'!L9</f>
        <v>0</v>
      </c>
      <c r="Q11" s="311">
        <f>'t3'!N9</f>
        <v>0</v>
      </c>
      <c r="R11" s="311">
        <f>'t3'!P9</f>
        <v>0</v>
      </c>
      <c r="S11" s="311">
        <f>'t3'!D9</f>
        <v>0</v>
      </c>
      <c r="T11" s="311">
        <f>'t3'!F9</f>
        <v>0</v>
      </c>
      <c r="U11" s="311">
        <f>'t3'!H9</f>
        <v>0</v>
      </c>
      <c r="V11" s="311">
        <f>'t3'!J9</f>
        <v>0</v>
      </c>
      <c r="W11" s="311">
        <f t="shared" ref="W11:W23" si="3">O11+P11+Q11+R11-S11-T11-U11-V11</f>
        <v>0</v>
      </c>
      <c r="X11" s="311">
        <f>'t10'!AV9</f>
        <v>0</v>
      </c>
      <c r="Y11" s="596" t="str">
        <f t="shared" ref="Y11:Y23" si="4">IF(O11&lt;(S11+T11+U11+V11),"ERRORE","OK")</f>
        <v>OK</v>
      </c>
      <c r="Z11" s="168" t="str">
        <f t="shared" ref="Z11:Z23" si="5">IF(W11=X11,"OK","ERRORE")</f>
        <v>OK</v>
      </c>
    </row>
    <row r="12" spans="1:26" ht="14.1" customHeight="1" x14ac:dyDescent="0.2">
      <c r="A12" s="118" t="str">
        <f>'t1'!A10</f>
        <v>DIRIGENTE II FASCIA A TEMPO DETERM.</v>
      </c>
      <c r="B12" s="163" t="str">
        <f>'t1'!B10</f>
        <v>0D0080</v>
      </c>
      <c r="C12" s="310">
        <f>'t1'!K10</f>
        <v>0</v>
      </c>
      <c r="D12" s="310">
        <f>'t3'!K10</f>
        <v>0</v>
      </c>
      <c r="E12" s="311">
        <f>'t3'!M10</f>
        <v>0</v>
      </c>
      <c r="F12" s="311">
        <f>'t3'!O10</f>
        <v>0</v>
      </c>
      <c r="G12" s="311">
        <f>'t3'!C10</f>
        <v>0</v>
      </c>
      <c r="H12" s="311">
        <f>'t3'!E10</f>
        <v>0</v>
      </c>
      <c r="I12" s="311">
        <f>'t3'!G10</f>
        <v>0</v>
      </c>
      <c r="J12" s="311">
        <f>'t3'!I10</f>
        <v>0</v>
      </c>
      <c r="K12" s="311">
        <f t="shared" si="0"/>
        <v>0</v>
      </c>
      <c r="L12" s="311">
        <f>'t10'!AU10</f>
        <v>0</v>
      </c>
      <c r="M12" s="596" t="str">
        <f t="shared" si="1"/>
        <v>OK</v>
      </c>
      <c r="N12" s="92" t="str">
        <f t="shared" si="2"/>
        <v>OK</v>
      </c>
      <c r="O12" s="310">
        <f>'t1'!L10</f>
        <v>0</v>
      </c>
      <c r="P12" s="310">
        <f>'t3'!L10</f>
        <v>0</v>
      </c>
      <c r="Q12" s="311">
        <f>'t3'!N10</f>
        <v>0</v>
      </c>
      <c r="R12" s="311">
        <f>'t3'!P10</f>
        <v>0</v>
      </c>
      <c r="S12" s="311">
        <f>'t3'!D10</f>
        <v>0</v>
      </c>
      <c r="T12" s="311">
        <f>'t3'!F10</f>
        <v>0</v>
      </c>
      <c r="U12" s="311">
        <f>'t3'!H10</f>
        <v>0</v>
      </c>
      <c r="V12" s="311">
        <f>'t3'!J10</f>
        <v>0</v>
      </c>
      <c r="W12" s="311">
        <f t="shared" si="3"/>
        <v>0</v>
      </c>
      <c r="X12" s="311">
        <f>'t10'!AV10</f>
        <v>0</v>
      </c>
      <c r="Y12" s="596" t="str">
        <f t="shared" si="4"/>
        <v>OK</v>
      </c>
      <c r="Z12" s="168" t="str">
        <f t="shared" si="5"/>
        <v>OK</v>
      </c>
    </row>
    <row r="13" spans="1:26" ht="14.1" customHeight="1" x14ac:dyDescent="0.2">
      <c r="A13" s="118" t="str">
        <f>'t1'!A11</f>
        <v>MEDICO II FASCIA T.P.</v>
      </c>
      <c r="B13" s="163" t="str">
        <f>'t1'!B11</f>
        <v>0D0584</v>
      </c>
      <c r="C13" s="310">
        <f>'t1'!K11</f>
        <v>0</v>
      </c>
      <c r="D13" s="310">
        <f>'t3'!K11</f>
        <v>0</v>
      </c>
      <c r="E13" s="311">
        <f>'t3'!M11</f>
        <v>0</v>
      </c>
      <c r="F13" s="311">
        <f>'t3'!O11</f>
        <v>0</v>
      </c>
      <c r="G13" s="311">
        <f>'t3'!C11</f>
        <v>0</v>
      </c>
      <c r="H13" s="311">
        <f>'t3'!E11</f>
        <v>0</v>
      </c>
      <c r="I13" s="311">
        <f>'t3'!G11</f>
        <v>0</v>
      </c>
      <c r="J13" s="311">
        <f>'t3'!I11</f>
        <v>0</v>
      </c>
      <c r="K13" s="311">
        <f t="shared" si="0"/>
        <v>0</v>
      </c>
      <c r="L13" s="311">
        <f>'t10'!AU11</f>
        <v>0</v>
      </c>
      <c r="M13" s="596" t="str">
        <f t="shared" si="1"/>
        <v>OK</v>
      </c>
      <c r="N13" s="92" t="str">
        <f t="shared" si="2"/>
        <v>OK</v>
      </c>
      <c r="O13" s="310">
        <f>'t1'!L11</f>
        <v>0</v>
      </c>
      <c r="P13" s="310">
        <f>'t3'!L11</f>
        <v>0</v>
      </c>
      <c r="Q13" s="311">
        <f>'t3'!N11</f>
        <v>0</v>
      </c>
      <c r="R13" s="311">
        <f>'t3'!P11</f>
        <v>0</v>
      </c>
      <c r="S13" s="311">
        <f>'t3'!D11</f>
        <v>0</v>
      </c>
      <c r="T13" s="311">
        <f>'t3'!F11</f>
        <v>0</v>
      </c>
      <c r="U13" s="311">
        <f>'t3'!H11</f>
        <v>0</v>
      </c>
      <c r="V13" s="311">
        <f>'t3'!J11</f>
        <v>0</v>
      </c>
      <c r="W13" s="311">
        <f t="shared" si="3"/>
        <v>0</v>
      </c>
      <c r="X13" s="311">
        <f>'t10'!AV11</f>
        <v>0</v>
      </c>
      <c r="Y13" s="596" t="str">
        <f t="shared" si="4"/>
        <v>OK</v>
      </c>
      <c r="Z13" s="168" t="str">
        <f t="shared" si="5"/>
        <v>OK</v>
      </c>
    </row>
    <row r="14" spans="1:26" ht="14.1" customHeight="1" x14ac:dyDescent="0.2">
      <c r="A14" s="118" t="str">
        <f>'t1'!A12</f>
        <v>MEDICO I FASCIA T.P.</v>
      </c>
      <c r="B14" s="163" t="str">
        <f>'t1'!B12</f>
        <v>0D0585</v>
      </c>
      <c r="C14" s="310">
        <f>'t1'!K12</f>
        <v>0</v>
      </c>
      <c r="D14" s="310">
        <f>'t3'!K12</f>
        <v>0</v>
      </c>
      <c r="E14" s="311">
        <f>'t3'!M12</f>
        <v>0</v>
      </c>
      <c r="F14" s="311">
        <f>'t3'!O12</f>
        <v>0</v>
      </c>
      <c r="G14" s="311">
        <f>'t3'!C12</f>
        <v>0</v>
      </c>
      <c r="H14" s="311">
        <f>'t3'!E12</f>
        <v>0</v>
      </c>
      <c r="I14" s="311">
        <f>'t3'!G12</f>
        <v>0</v>
      </c>
      <c r="J14" s="311">
        <f>'t3'!I12</f>
        <v>0</v>
      </c>
      <c r="K14" s="311">
        <f t="shared" si="0"/>
        <v>0</v>
      </c>
      <c r="L14" s="311">
        <f>'t10'!AU12</f>
        <v>0</v>
      </c>
      <c r="M14" s="596" t="str">
        <f t="shared" si="1"/>
        <v>OK</v>
      </c>
      <c r="N14" s="92" t="str">
        <f t="shared" si="2"/>
        <v>OK</v>
      </c>
      <c r="O14" s="310">
        <f>'t1'!L12</f>
        <v>0</v>
      </c>
      <c r="P14" s="310">
        <f>'t3'!L12</f>
        <v>0</v>
      </c>
      <c r="Q14" s="311">
        <f>'t3'!N12</f>
        <v>0</v>
      </c>
      <c r="R14" s="311">
        <f>'t3'!P12</f>
        <v>0</v>
      </c>
      <c r="S14" s="311">
        <f>'t3'!D12</f>
        <v>0</v>
      </c>
      <c r="T14" s="311">
        <f>'t3'!F12</f>
        <v>0</v>
      </c>
      <c r="U14" s="311">
        <f>'t3'!H12</f>
        <v>0</v>
      </c>
      <c r="V14" s="311">
        <f>'t3'!J12</f>
        <v>0</v>
      </c>
      <c r="W14" s="311">
        <f t="shared" si="3"/>
        <v>0</v>
      </c>
      <c r="X14" s="311">
        <f>'t10'!AV12</f>
        <v>0</v>
      </c>
      <c r="Y14" s="596" t="str">
        <f t="shared" si="4"/>
        <v>OK</v>
      </c>
      <c r="Z14" s="168" t="str">
        <f t="shared" si="5"/>
        <v>OK</v>
      </c>
    </row>
    <row r="15" spans="1:26" ht="14.1" customHeight="1" x14ac:dyDescent="0.2">
      <c r="A15" s="118" t="str">
        <f>'t1'!A13</f>
        <v>MEDICO II FASCIA T.D.</v>
      </c>
      <c r="B15" s="163" t="str">
        <f>'t1'!B13</f>
        <v>0D0586</v>
      </c>
      <c r="C15" s="310">
        <f>'t1'!K13</f>
        <v>0</v>
      </c>
      <c r="D15" s="310">
        <f>'t3'!K13</f>
        <v>0</v>
      </c>
      <c r="E15" s="311">
        <f>'t3'!M13</f>
        <v>0</v>
      </c>
      <c r="F15" s="311">
        <f>'t3'!O13</f>
        <v>0</v>
      </c>
      <c r="G15" s="311">
        <f>'t3'!C13</f>
        <v>0</v>
      </c>
      <c r="H15" s="311">
        <f>'t3'!E13</f>
        <v>0</v>
      </c>
      <c r="I15" s="311">
        <f>'t3'!G13</f>
        <v>0</v>
      </c>
      <c r="J15" s="311">
        <f>'t3'!I13</f>
        <v>0</v>
      </c>
      <c r="K15" s="311">
        <f t="shared" si="0"/>
        <v>0</v>
      </c>
      <c r="L15" s="311">
        <f>'t10'!AU13</f>
        <v>0</v>
      </c>
      <c r="M15" s="596" t="str">
        <f t="shared" si="1"/>
        <v>OK</v>
      </c>
      <c r="N15" s="92" t="str">
        <f t="shared" si="2"/>
        <v>OK</v>
      </c>
      <c r="O15" s="310">
        <f>'t1'!L13</f>
        <v>0</v>
      </c>
      <c r="P15" s="310">
        <f>'t3'!L13</f>
        <v>0</v>
      </c>
      <c r="Q15" s="311">
        <f>'t3'!N13</f>
        <v>0</v>
      </c>
      <c r="R15" s="311">
        <f>'t3'!P13</f>
        <v>0</v>
      </c>
      <c r="S15" s="311">
        <f>'t3'!D13</f>
        <v>0</v>
      </c>
      <c r="T15" s="311">
        <f>'t3'!F13</f>
        <v>0</v>
      </c>
      <c r="U15" s="311">
        <f>'t3'!H13</f>
        <v>0</v>
      </c>
      <c r="V15" s="311">
        <f>'t3'!J13</f>
        <v>0</v>
      </c>
      <c r="W15" s="311">
        <f t="shared" si="3"/>
        <v>0</v>
      </c>
      <c r="X15" s="311">
        <f>'t10'!AV13</f>
        <v>0</v>
      </c>
      <c r="Y15" s="596" t="str">
        <f t="shared" si="4"/>
        <v>OK</v>
      </c>
      <c r="Z15" s="168" t="str">
        <f t="shared" si="5"/>
        <v>OK</v>
      </c>
    </row>
    <row r="16" spans="1:26" ht="14.1" customHeight="1" x14ac:dyDescent="0.2">
      <c r="A16" s="118" t="str">
        <f>'t1'!A14</f>
        <v>MEDICO I FASCIA T.D.</v>
      </c>
      <c r="B16" s="163" t="str">
        <f>'t1'!B14</f>
        <v>0D0496</v>
      </c>
      <c r="C16" s="310">
        <f>'t1'!K14</f>
        <v>0</v>
      </c>
      <c r="D16" s="310">
        <f>'t3'!K14</f>
        <v>0</v>
      </c>
      <c r="E16" s="311">
        <f>'t3'!M14</f>
        <v>0</v>
      </c>
      <c r="F16" s="311">
        <f>'t3'!O14</f>
        <v>0</v>
      </c>
      <c r="G16" s="311">
        <f>'t3'!C14</f>
        <v>0</v>
      </c>
      <c r="H16" s="311">
        <f>'t3'!E14</f>
        <v>0</v>
      </c>
      <c r="I16" s="311">
        <f>'t3'!G14</f>
        <v>0</v>
      </c>
      <c r="J16" s="311">
        <f>'t3'!I14</f>
        <v>0</v>
      </c>
      <c r="K16" s="311">
        <f t="shared" si="0"/>
        <v>0</v>
      </c>
      <c r="L16" s="311">
        <f>'t10'!AU14</f>
        <v>0</v>
      </c>
      <c r="M16" s="596" t="str">
        <f t="shared" si="1"/>
        <v>OK</v>
      </c>
      <c r="N16" s="92" t="str">
        <f t="shared" si="2"/>
        <v>OK</v>
      </c>
      <c r="O16" s="310">
        <f>'t1'!L14</f>
        <v>0</v>
      </c>
      <c r="P16" s="310">
        <f>'t3'!L14</f>
        <v>0</v>
      </c>
      <c r="Q16" s="311">
        <f>'t3'!N14</f>
        <v>0</v>
      </c>
      <c r="R16" s="311">
        <f>'t3'!P14</f>
        <v>0</v>
      </c>
      <c r="S16" s="311">
        <f>'t3'!D14</f>
        <v>0</v>
      </c>
      <c r="T16" s="311">
        <f>'t3'!F14</f>
        <v>0</v>
      </c>
      <c r="U16" s="311">
        <f>'t3'!H14</f>
        <v>0</v>
      </c>
      <c r="V16" s="311">
        <f>'t3'!J14</f>
        <v>0</v>
      </c>
      <c r="W16" s="311">
        <f t="shared" si="3"/>
        <v>0</v>
      </c>
      <c r="X16" s="311">
        <f>'t10'!AV14</f>
        <v>0</v>
      </c>
      <c r="Y16" s="596" t="str">
        <f t="shared" si="4"/>
        <v>OK</v>
      </c>
      <c r="Z16" s="168" t="str">
        <f t="shared" si="5"/>
        <v>OK</v>
      </c>
    </row>
    <row r="17" spans="1:26" ht="14.1" customHeight="1" x14ac:dyDescent="0.2">
      <c r="A17" s="118" t="str">
        <f>'t1'!A15</f>
        <v>PROFESSIONISTI II LIVELLO</v>
      </c>
      <c r="B17" s="163" t="str">
        <f>'t1'!B15</f>
        <v>0D0PR2</v>
      </c>
      <c r="C17" s="310">
        <f>'t1'!K15</f>
        <v>0</v>
      </c>
      <c r="D17" s="310">
        <f>'t3'!K15</f>
        <v>0</v>
      </c>
      <c r="E17" s="311">
        <f>'t3'!M15</f>
        <v>0</v>
      </c>
      <c r="F17" s="311">
        <f>'t3'!O15</f>
        <v>0</v>
      </c>
      <c r="G17" s="311">
        <f>'t3'!C15</f>
        <v>0</v>
      </c>
      <c r="H17" s="311">
        <f>'t3'!E15</f>
        <v>0</v>
      </c>
      <c r="I17" s="311">
        <f>'t3'!G15</f>
        <v>0</v>
      </c>
      <c r="J17" s="311">
        <f>'t3'!I15</f>
        <v>0</v>
      </c>
      <c r="K17" s="311">
        <f t="shared" si="0"/>
        <v>0</v>
      </c>
      <c r="L17" s="311">
        <f>'t10'!AU15</f>
        <v>0</v>
      </c>
      <c r="M17" s="596" t="str">
        <f t="shared" si="1"/>
        <v>OK</v>
      </c>
      <c r="N17" s="92" t="str">
        <f t="shared" si="2"/>
        <v>OK</v>
      </c>
      <c r="O17" s="310">
        <f>'t1'!L15</f>
        <v>0</v>
      </c>
      <c r="P17" s="310">
        <f>'t3'!L15</f>
        <v>0</v>
      </c>
      <c r="Q17" s="311">
        <f>'t3'!N15</f>
        <v>0</v>
      </c>
      <c r="R17" s="311">
        <f>'t3'!P15</f>
        <v>0</v>
      </c>
      <c r="S17" s="311">
        <f>'t3'!D15</f>
        <v>0</v>
      </c>
      <c r="T17" s="311">
        <f>'t3'!F15</f>
        <v>0</v>
      </c>
      <c r="U17" s="311">
        <f>'t3'!H15</f>
        <v>0</v>
      </c>
      <c r="V17" s="311">
        <f>'t3'!J15</f>
        <v>0</v>
      </c>
      <c r="W17" s="311">
        <f t="shared" si="3"/>
        <v>0</v>
      </c>
      <c r="X17" s="311">
        <f>'t10'!AV15</f>
        <v>0</v>
      </c>
      <c r="Y17" s="596" t="str">
        <f t="shared" si="4"/>
        <v>OK</v>
      </c>
      <c r="Z17" s="168" t="str">
        <f t="shared" si="5"/>
        <v>OK</v>
      </c>
    </row>
    <row r="18" spans="1:26" ht="14.1" customHeight="1" x14ac:dyDescent="0.2">
      <c r="A18" s="118" t="str">
        <f>'t1'!A16</f>
        <v>PROFESSIONISTI I LIVELLO</v>
      </c>
      <c r="B18" s="163" t="str">
        <f>'t1'!B16</f>
        <v>0D0PR1</v>
      </c>
      <c r="C18" s="310">
        <f>'t1'!K16</f>
        <v>0</v>
      </c>
      <c r="D18" s="310">
        <f>'t3'!K16</f>
        <v>0</v>
      </c>
      <c r="E18" s="311">
        <f>'t3'!M16</f>
        <v>0</v>
      </c>
      <c r="F18" s="311">
        <f>'t3'!O16</f>
        <v>0</v>
      </c>
      <c r="G18" s="311">
        <f>'t3'!C16</f>
        <v>0</v>
      </c>
      <c r="H18" s="311">
        <f>'t3'!E16</f>
        <v>0</v>
      </c>
      <c r="I18" s="311">
        <f>'t3'!G16</f>
        <v>0</v>
      </c>
      <c r="J18" s="311">
        <f>'t3'!I16</f>
        <v>0</v>
      </c>
      <c r="K18" s="311">
        <f t="shared" si="0"/>
        <v>0</v>
      </c>
      <c r="L18" s="311">
        <f>'t10'!AU16</f>
        <v>0</v>
      </c>
      <c r="M18" s="596" t="str">
        <f t="shared" si="1"/>
        <v>OK</v>
      </c>
      <c r="N18" s="92" t="str">
        <f t="shared" si="2"/>
        <v>OK</v>
      </c>
      <c r="O18" s="310">
        <f>'t1'!L16</f>
        <v>0</v>
      </c>
      <c r="P18" s="310">
        <f>'t3'!L16</f>
        <v>0</v>
      </c>
      <c r="Q18" s="311">
        <f>'t3'!N16</f>
        <v>0</v>
      </c>
      <c r="R18" s="311">
        <f>'t3'!P16</f>
        <v>0</v>
      </c>
      <c r="S18" s="311">
        <f>'t3'!D16</f>
        <v>0</v>
      </c>
      <c r="T18" s="311">
        <f>'t3'!F16</f>
        <v>0</v>
      </c>
      <c r="U18" s="311">
        <f>'t3'!H16</f>
        <v>0</v>
      </c>
      <c r="V18" s="311">
        <f>'t3'!J16</f>
        <v>0</v>
      </c>
      <c r="W18" s="311">
        <f t="shared" si="3"/>
        <v>0</v>
      </c>
      <c r="X18" s="311">
        <f>'t10'!AV16</f>
        <v>0</v>
      </c>
      <c r="Y18" s="596" t="str">
        <f t="shared" si="4"/>
        <v>OK</v>
      </c>
      <c r="Z18" s="168" t="str">
        <f t="shared" si="5"/>
        <v>OK</v>
      </c>
    </row>
    <row r="19" spans="1:26" ht="14.1" customHeight="1" x14ac:dyDescent="0.2">
      <c r="A19" s="118" t="str">
        <f>'t1'!A17</f>
        <v>ELEVATE PROFESSIONALITA'</v>
      </c>
      <c r="B19" s="163" t="str">
        <f>'t1'!B17</f>
        <v>0EP981</v>
      </c>
      <c r="C19" s="310">
        <f>'t1'!K17</f>
        <v>0</v>
      </c>
      <c r="D19" s="310">
        <f>'t3'!K17</f>
        <v>0</v>
      </c>
      <c r="E19" s="311">
        <f>'t3'!M17</f>
        <v>0</v>
      </c>
      <c r="F19" s="311">
        <f>'t3'!O17</f>
        <v>0</v>
      </c>
      <c r="G19" s="311">
        <f>'t3'!C17</f>
        <v>0</v>
      </c>
      <c r="H19" s="311">
        <f>'t3'!E17</f>
        <v>0</v>
      </c>
      <c r="I19" s="311">
        <f>'t3'!G17</f>
        <v>0</v>
      </c>
      <c r="J19" s="311">
        <f>'t3'!I17</f>
        <v>0</v>
      </c>
      <c r="K19" s="311">
        <f t="shared" si="0"/>
        <v>0</v>
      </c>
      <c r="L19" s="311">
        <f>'t10'!AU17</f>
        <v>0</v>
      </c>
      <c r="M19" s="596" t="str">
        <f t="shared" si="1"/>
        <v>OK</v>
      </c>
      <c r="N19" s="92" t="str">
        <f t="shared" si="2"/>
        <v>OK</v>
      </c>
      <c r="O19" s="310">
        <f>'t1'!L17</f>
        <v>0</v>
      </c>
      <c r="P19" s="310">
        <f>'t3'!L17</f>
        <v>0</v>
      </c>
      <c r="Q19" s="311">
        <f>'t3'!N17</f>
        <v>0</v>
      </c>
      <c r="R19" s="311">
        <f>'t3'!P17</f>
        <v>0</v>
      </c>
      <c r="S19" s="311">
        <f>'t3'!D17</f>
        <v>0</v>
      </c>
      <c r="T19" s="311">
        <f>'t3'!F17</f>
        <v>0</v>
      </c>
      <c r="U19" s="311">
        <f>'t3'!H17</f>
        <v>0</v>
      </c>
      <c r="V19" s="311">
        <f>'t3'!J17</f>
        <v>0</v>
      </c>
      <c r="W19" s="311">
        <f t="shared" si="3"/>
        <v>0</v>
      </c>
      <c r="X19" s="311">
        <f>'t10'!AV17</f>
        <v>0</v>
      </c>
      <c r="Y19" s="596" t="str">
        <f t="shared" si="4"/>
        <v>OK</v>
      </c>
      <c r="Z19" s="168" t="str">
        <f t="shared" si="5"/>
        <v>OK</v>
      </c>
    </row>
    <row r="20" spans="1:26" ht="14.1" customHeight="1" x14ac:dyDescent="0.2">
      <c r="A20" s="118" t="str">
        <f>'t1'!A18</f>
        <v>FUNZIONARI</v>
      </c>
      <c r="B20" s="163" t="str">
        <f>'t1'!B18</f>
        <v>0FZ000</v>
      </c>
      <c r="C20" s="310">
        <f>'t1'!K18</f>
        <v>0</v>
      </c>
      <c r="D20" s="310">
        <f>'t3'!K18</f>
        <v>0</v>
      </c>
      <c r="E20" s="311">
        <f>'t3'!M18</f>
        <v>0</v>
      </c>
      <c r="F20" s="311">
        <f>'t3'!O18</f>
        <v>0</v>
      </c>
      <c r="G20" s="311">
        <f>'t3'!C18</f>
        <v>0</v>
      </c>
      <c r="H20" s="311">
        <f>'t3'!E18</f>
        <v>0</v>
      </c>
      <c r="I20" s="311">
        <f>'t3'!G18</f>
        <v>0</v>
      </c>
      <c r="J20" s="311">
        <f>'t3'!I18</f>
        <v>0</v>
      </c>
      <c r="K20" s="311">
        <f t="shared" si="0"/>
        <v>0</v>
      </c>
      <c r="L20" s="311">
        <f>'t10'!AU18</f>
        <v>0</v>
      </c>
      <c r="M20" s="596" t="str">
        <f t="shared" si="1"/>
        <v>OK</v>
      </c>
      <c r="N20" s="92" t="str">
        <f t="shared" si="2"/>
        <v>OK</v>
      </c>
      <c r="O20" s="310">
        <f>'t1'!L18</f>
        <v>0</v>
      </c>
      <c r="P20" s="310">
        <f>'t3'!L18</f>
        <v>0</v>
      </c>
      <c r="Q20" s="311">
        <f>'t3'!N18</f>
        <v>0</v>
      </c>
      <c r="R20" s="311">
        <f>'t3'!P18</f>
        <v>0</v>
      </c>
      <c r="S20" s="311">
        <f>'t3'!D18</f>
        <v>0</v>
      </c>
      <c r="T20" s="311">
        <f>'t3'!F18</f>
        <v>0</v>
      </c>
      <c r="U20" s="311">
        <f>'t3'!H18</f>
        <v>0</v>
      </c>
      <c r="V20" s="311">
        <f>'t3'!J18</f>
        <v>0</v>
      </c>
      <c r="W20" s="311">
        <f t="shared" si="3"/>
        <v>0</v>
      </c>
      <c r="X20" s="311">
        <f>'t10'!AV18</f>
        <v>0</v>
      </c>
      <c r="Y20" s="596" t="str">
        <f t="shared" si="4"/>
        <v>OK</v>
      </c>
      <c r="Z20" s="168" t="str">
        <f t="shared" si="5"/>
        <v>OK</v>
      </c>
    </row>
    <row r="21" spans="1:26" ht="14.1" customHeight="1" x14ac:dyDescent="0.2">
      <c r="A21" s="118" t="str">
        <f>'t1'!A19</f>
        <v>ASSISTENTI</v>
      </c>
      <c r="B21" s="163" t="str">
        <f>'t1'!B19</f>
        <v>0AS000</v>
      </c>
      <c r="C21" s="310">
        <f>'t1'!K19</f>
        <v>0</v>
      </c>
      <c r="D21" s="310">
        <f>'t3'!K19</f>
        <v>0</v>
      </c>
      <c r="E21" s="311">
        <f>'t3'!M19</f>
        <v>0</v>
      </c>
      <c r="F21" s="311">
        <f>'t3'!O19</f>
        <v>0</v>
      </c>
      <c r="G21" s="311">
        <f>'t3'!C19</f>
        <v>0</v>
      </c>
      <c r="H21" s="311">
        <f>'t3'!E19</f>
        <v>0</v>
      </c>
      <c r="I21" s="311">
        <f>'t3'!G19</f>
        <v>0</v>
      </c>
      <c r="J21" s="311">
        <f>'t3'!I19</f>
        <v>0</v>
      </c>
      <c r="K21" s="311">
        <f t="shared" si="0"/>
        <v>0</v>
      </c>
      <c r="L21" s="311">
        <f>'t10'!AU19</f>
        <v>0</v>
      </c>
      <c r="M21" s="596" t="str">
        <f t="shared" si="1"/>
        <v>OK</v>
      </c>
      <c r="N21" s="92" t="str">
        <f t="shared" si="2"/>
        <v>OK</v>
      </c>
      <c r="O21" s="310">
        <f>'t1'!L19</f>
        <v>1</v>
      </c>
      <c r="P21" s="310">
        <f>'t3'!L19</f>
        <v>0</v>
      </c>
      <c r="Q21" s="311">
        <f>'t3'!N19</f>
        <v>0</v>
      </c>
      <c r="R21" s="311">
        <f>'t3'!P19</f>
        <v>0</v>
      </c>
      <c r="S21" s="311">
        <f>'t3'!D19</f>
        <v>0</v>
      </c>
      <c r="T21" s="311">
        <f>'t3'!F19</f>
        <v>0</v>
      </c>
      <c r="U21" s="311">
        <f>'t3'!H19</f>
        <v>0</v>
      </c>
      <c r="V21" s="311">
        <f>'t3'!J19</f>
        <v>0</v>
      </c>
      <c r="W21" s="311">
        <f t="shared" si="3"/>
        <v>1</v>
      </c>
      <c r="X21" s="311">
        <f>'t10'!AV19</f>
        <v>1</v>
      </c>
      <c r="Y21" s="596" t="str">
        <f t="shared" si="4"/>
        <v>OK</v>
      </c>
      <c r="Z21" s="168" t="str">
        <f t="shared" si="5"/>
        <v>OK</v>
      </c>
    </row>
    <row r="22" spans="1:26" ht="14.1" customHeight="1" x14ac:dyDescent="0.2">
      <c r="A22" s="118" t="str">
        <f>'t1'!A20</f>
        <v>OPERATORI</v>
      </c>
      <c r="B22" s="163" t="str">
        <f>'t1'!B20</f>
        <v>0OP000</v>
      </c>
      <c r="C22" s="310">
        <f>'t1'!K20</f>
        <v>0</v>
      </c>
      <c r="D22" s="310">
        <f>'t3'!K20</f>
        <v>0</v>
      </c>
      <c r="E22" s="311">
        <f>'t3'!M20</f>
        <v>0</v>
      </c>
      <c r="F22" s="311">
        <f>'t3'!O20</f>
        <v>0</v>
      </c>
      <c r="G22" s="311">
        <f>'t3'!C20</f>
        <v>0</v>
      </c>
      <c r="H22" s="311">
        <f>'t3'!E20</f>
        <v>0</v>
      </c>
      <c r="I22" s="311">
        <f>'t3'!G20</f>
        <v>0</v>
      </c>
      <c r="J22" s="311">
        <f>'t3'!I20</f>
        <v>0</v>
      </c>
      <c r="K22" s="311">
        <f t="shared" si="0"/>
        <v>0</v>
      </c>
      <c r="L22" s="311">
        <f>'t10'!AU20</f>
        <v>0</v>
      </c>
      <c r="M22" s="596" t="str">
        <f t="shared" si="1"/>
        <v>OK</v>
      </c>
      <c r="N22" s="92" t="str">
        <f t="shared" si="2"/>
        <v>OK</v>
      </c>
      <c r="O22" s="310">
        <f>'t1'!L20</f>
        <v>0</v>
      </c>
      <c r="P22" s="310">
        <f>'t3'!L20</f>
        <v>0</v>
      </c>
      <c r="Q22" s="311">
        <f>'t3'!N20</f>
        <v>0</v>
      </c>
      <c r="R22" s="311">
        <f>'t3'!P20</f>
        <v>0</v>
      </c>
      <c r="S22" s="311">
        <f>'t3'!D20</f>
        <v>0</v>
      </c>
      <c r="T22" s="311">
        <f>'t3'!F20</f>
        <v>0</v>
      </c>
      <c r="U22" s="311">
        <f>'t3'!H20</f>
        <v>0</v>
      </c>
      <c r="V22" s="311">
        <f>'t3'!J20</f>
        <v>0</v>
      </c>
      <c r="W22" s="311">
        <f t="shared" si="3"/>
        <v>0</v>
      </c>
      <c r="X22" s="311">
        <f>'t10'!AV20</f>
        <v>0</v>
      </c>
      <c r="Y22" s="596" t="str">
        <f t="shared" si="4"/>
        <v>OK</v>
      </c>
      <c r="Z22" s="168" t="str">
        <f t="shared" si="5"/>
        <v>OK</v>
      </c>
    </row>
    <row r="23" spans="1:26" ht="14.1" customHeight="1" x14ac:dyDescent="0.2">
      <c r="A23" s="118" t="str">
        <f>'t1'!A21</f>
        <v>CONTRATTISTI</v>
      </c>
      <c r="B23" s="163" t="str">
        <f>'t1'!B21</f>
        <v>000061</v>
      </c>
      <c r="C23" s="310">
        <f>'t1'!K21</f>
        <v>0</v>
      </c>
      <c r="D23" s="310">
        <f>'t3'!K21</f>
        <v>0</v>
      </c>
      <c r="E23" s="311">
        <f>'t3'!M21</f>
        <v>0</v>
      </c>
      <c r="F23" s="311">
        <f>'t3'!O21</f>
        <v>0</v>
      </c>
      <c r="G23" s="311">
        <f>'t3'!C21</f>
        <v>0</v>
      </c>
      <c r="H23" s="311">
        <f>'t3'!E21</f>
        <v>0</v>
      </c>
      <c r="I23" s="311">
        <f>'t3'!G21</f>
        <v>0</v>
      </c>
      <c r="J23" s="311">
        <f>'t3'!I21</f>
        <v>0</v>
      </c>
      <c r="K23" s="311">
        <f t="shared" si="0"/>
        <v>0</v>
      </c>
      <c r="L23" s="311">
        <f>'t10'!AU21</f>
        <v>0</v>
      </c>
      <c r="M23" s="596" t="str">
        <f t="shared" si="1"/>
        <v>OK</v>
      </c>
      <c r="N23" s="92" t="str">
        <f t="shared" si="2"/>
        <v>OK</v>
      </c>
      <c r="O23" s="310">
        <f>'t1'!L21</f>
        <v>0</v>
      </c>
      <c r="P23" s="310">
        <f>'t3'!L21</f>
        <v>0</v>
      </c>
      <c r="Q23" s="311">
        <f>'t3'!N21</f>
        <v>0</v>
      </c>
      <c r="R23" s="311">
        <f>'t3'!P21</f>
        <v>0</v>
      </c>
      <c r="S23" s="311">
        <f>'t3'!D21</f>
        <v>0</v>
      </c>
      <c r="T23" s="311">
        <f>'t3'!F21</f>
        <v>0</v>
      </c>
      <c r="U23" s="311">
        <f>'t3'!H21</f>
        <v>0</v>
      </c>
      <c r="V23" s="311">
        <f>'t3'!J21</f>
        <v>0</v>
      </c>
      <c r="W23" s="311">
        <f t="shared" si="3"/>
        <v>0</v>
      </c>
      <c r="X23" s="311">
        <f>'t10'!AV21</f>
        <v>0</v>
      </c>
      <c r="Y23" s="596" t="str">
        <f t="shared" si="4"/>
        <v>OK</v>
      </c>
      <c r="Z23" s="168" t="str">
        <f t="shared" si="5"/>
        <v>OK</v>
      </c>
    </row>
    <row r="24" spans="1:26" ht="15.75" customHeight="1" x14ac:dyDescent="0.2">
      <c r="A24" s="118" t="str">
        <f>'t1'!A22</f>
        <v>TOTALE</v>
      </c>
      <c r="B24" s="155"/>
      <c r="C24" s="310">
        <f t="shared" ref="C24:J24" si="6">SUM(C8:C23)</f>
        <v>0</v>
      </c>
      <c r="D24" s="310">
        <f t="shared" si="6"/>
        <v>0</v>
      </c>
      <c r="E24" s="310">
        <f t="shared" si="6"/>
        <v>0</v>
      </c>
      <c r="F24" s="310">
        <f t="shared" si="6"/>
        <v>0</v>
      </c>
      <c r="G24" s="310">
        <f t="shared" si="6"/>
        <v>0</v>
      </c>
      <c r="H24" s="310">
        <f t="shared" si="6"/>
        <v>0</v>
      </c>
      <c r="I24" s="310">
        <f t="shared" si="6"/>
        <v>0</v>
      </c>
      <c r="J24" s="310">
        <f t="shared" si="6"/>
        <v>0</v>
      </c>
      <c r="K24" s="311">
        <f>C24+D24+E24+F24-G24-H24-I24-J24</f>
        <v>0</v>
      </c>
      <c r="L24" s="310">
        <f>SUM(L8:L23)</f>
        <v>0</v>
      </c>
      <c r="M24" s="596" t="str">
        <f>IF(C24&lt;(G24+H24+I24+J24),"ERRORE","OK")</f>
        <v>OK</v>
      </c>
      <c r="N24" s="92" t="str">
        <f>IF(K24=L24,"OK","ERRORE")</f>
        <v>OK</v>
      </c>
      <c r="O24" s="310">
        <f t="shared" ref="O24:V24" si="7">SUM(O8:O23)</f>
        <v>1</v>
      </c>
      <c r="P24" s="310">
        <f t="shared" si="7"/>
        <v>0</v>
      </c>
      <c r="Q24" s="310">
        <f t="shared" si="7"/>
        <v>0</v>
      </c>
      <c r="R24" s="310">
        <f t="shared" si="7"/>
        <v>0</v>
      </c>
      <c r="S24" s="310">
        <f t="shared" si="7"/>
        <v>0</v>
      </c>
      <c r="T24" s="310">
        <f t="shared" si="7"/>
        <v>0</v>
      </c>
      <c r="U24" s="310">
        <f t="shared" si="7"/>
        <v>0</v>
      </c>
      <c r="V24" s="310">
        <f t="shared" si="7"/>
        <v>0</v>
      </c>
      <c r="W24" s="311">
        <f>O24+P24+Q24+R24-S24-T24-U24-V24</f>
        <v>1</v>
      </c>
      <c r="X24" s="310">
        <f>SUM(X8:X23)</f>
        <v>1</v>
      </c>
      <c r="Y24" s="596" t="str">
        <f>IF(O24&lt;(S24+T24+U24+V24),"ERRORE","OK")</f>
        <v>OK</v>
      </c>
      <c r="Z24" s="168" t="str">
        <f>IF(W24=X24,"OK","ERRORE")</f>
        <v>OK</v>
      </c>
    </row>
  </sheetData>
  <sheetProtection algorithmName="SHA-512" hashValue="UHCuGzR3PDkrRXYo6TmOFhaIx/1bxI3EavOIivyKrO+7tBXWSvDlBTiCVsIU3/dC1rYbinHcwflqG90RwOwT3A==" saltValue="hqsnN88wVJ/aQAJu4Fnusg==" spinCount="100000" sheet="1" formatColumns="0" selectLockedCells="1" selectUnlockedCells="1"/>
  <mergeCells count="4">
    <mergeCell ref="O5:Z5"/>
    <mergeCell ref="C5:N5"/>
    <mergeCell ref="A1:W1"/>
    <mergeCell ref="A2:L2"/>
  </mergeCells>
  <phoneticPr fontId="30" type="noConversion"/>
  <printOptions horizontalCentered="1" verticalCentered="1"/>
  <pageMargins left="0.19685039370078741" right="0" top="0.15748031496062992" bottom="0.15748031496062992" header="0.19685039370078741" footer="0.19685039370078741"/>
  <pageSetup paperSize="9" scale="80" orientation="landscape" horizontalDpi="300" verticalDpi="4294967292" r:id="rId1"/>
  <headerFooter alignWithMargins="0"/>
  <colBreaks count="1" manualBreakCount="1">
    <brk id="14" max="1048575" man="1"/>
  </colBreaks>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oglio25"/>
  <dimension ref="A1:M22"/>
  <sheetViews>
    <sheetView showGridLines="0" workbookViewId="0">
      <pane ySplit="5" topLeftCell="A9" activePane="bottomLeft" state="frozen"/>
      <selection activeCell="A2" sqref="A2"/>
      <selection pane="bottomLeft" activeCell="B5" sqref="B5"/>
    </sheetView>
  </sheetViews>
  <sheetFormatPr defaultColWidth="9.33203125" defaultRowHeight="11.25" x14ac:dyDescent="0.2"/>
  <cols>
    <col min="1" max="1" width="38.5" style="3" customWidth="1"/>
    <col min="2" max="2" width="11.6640625" style="2" customWidth="1"/>
    <col min="3" max="3" width="17" style="2" bestFit="1" customWidth="1"/>
    <col min="4" max="8" width="15.6640625" style="2" customWidth="1"/>
    <col min="9" max="9" width="14.6640625" style="2" customWidth="1"/>
    <col min="10" max="16384" width="9.33203125" style="3"/>
  </cols>
  <sheetData>
    <row r="1" spans="1:13" ht="43.5" customHeight="1" x14ac:dyDescent="0.2">
      <c r="A1" s="1447" t="str">
        <f>'t1'!A1</f>
        <v>ENTI PUBBLICI NON ECONOMICI - anno 2024</v>
      </c>
      <c r="B1" s="1447"/>
      <c r="C1" s="1447"/>
      <c r="D1" s="1447"/>
      <c r="E1" s="1447"/>
      <c r="F1" s="1447"/>
      <c r="G1" s="1447"/>
      <c r="H1" s="288"/>
      <c r="I1" s="285"/>
      <c r="M1"/>
    </row>
    <row r="2" spans="1:13" ht="21" customHeight="1" x14ac:dyDescent="0.2">
      <c r="B2" s="3"/>
      <c r="C2" s="3"/>
      <c r="D2" s="1537"/>
      <c r="E2" s="1537"/>
      <c r="F2" s="1537"/>
      <c r="G2" s="1537"/>
      <c r="H2" s="1537"/>
      <c r="I2" s="1537"/>
      <c r="J2" s="289"/>
      <c r="M2"/>
    </row>
    <row r="3" spans="1:13" ht="21" customHeight="1" x14ac:dyDescent="0.25">
      <c r="A3" s="173" t="s">
        <v>243</v>
      </c>
      <c r="C3" s="3"/>
      <c r="D3" s="3"/>
      <c r="E3" s="3"/>
      <c r="F3" s="3"/>
      <c r="G3" s="3"/>
      <c r="H3" s="3"/>
      <c r="I3" s="3"/>
    </row>
    <row r="4" spans="1:13" ht="49.5" customHeight="1" x14ac:dyDescent="0.2">
      <c r="A4" s="161" t="s">
        <v>181</v>
      </c>
      <c r="B4" s="161" t="s">
        <v>180</v>
      </c>
      <c r="C4" s="161" t="str">
        <f>"Presenti 31.12 anno precedente (Tab 1)"</f>
        <v>Presenti 31.12 anno precedente (Tab 1)</v>
      </c>
      <c r="D4" s="161" t="s">
        <v>202</v>
      </c>
      <c r="E4" s="161" t="s">
        <v>203</v>
      </c>
      <c r="F4" s="161" t="s">
        <v>204</v>
      </c>
      <c r="G4" s="161" t="s">
        <v>215</v>
      </c>
      <c r="H4" s="161" t="s">
        <v>205</v>
      </c>
      <c r="I4" s="161" t="s">
        <v>172</v>
      </c>
    </row>
    <row r="5" spans="1:13" x14ac:dyDescent="0.2">
      <c r="A5" s="161"/>
      <c r="B5" s="161"/>
      <c r="C5" s="171" t="s">
        <v>182</v>
      </c>
      <c r="D5" s="171" t="s">
        <v>183</v>
      </c>
      <c r="E5" s="171" t="s">
        <v>184</v>
      </c>
      <c r="F5" s="171" t="s">
        <v>185</v>
      </c>
      <c r="G5" s="171" t="s">
        <v>214</v>
      </c>
      <c r="H5" s="171" t="s">
        <v>206</v>
      </c>
      <c r="I5" s="171" t="s">
        <v>207</v>
      </c>
    </row>
    <row r="6" spans="1:13" ht="14.1" customHeight="1" x14ac:dyDescent="0.2">
      <c r="A6" s="118" t="str">
        <f>'t1'!A6</f>
        <v>DIRETTORE GENERALE</v>
      </c>
      <c r="B6" s="163" t="str">
        <f>'t1'!B6</f>
        <v>0D0097</v>
      </c>
      <c r="C6" s="310">
        <f>'t1'!C6+'t1'!D6</f>
        <v>0</v>
      </c>
      <c r="D6" s="310">
        <f>'t5'!U7+'t5'!V7</f>
        <v>0</v>
      </c>
      <c r="E6" s="311">
        <f>'t6'!U7+'t6'!V7</f>
        <v>0</v>
      </c>
      <c r="F6" s="311">
        <f>'t4'!$C$31</f>
        <v>0</v>
      </c>
      <c r="G6" s="311">
        <f>C6-D6+E6+F6</f>
        <v>0</v>
      </c>
      <c r="H6" s="311">
        <f>'t4'!S15</f>
        <v>0</v>
      </c>
      <c r="I6" s="92" t="str">
        <f>IF(H6&lt;=G6,"OK","ERRORE")</f>
        <v>OK</v>
      </c>
    </row>
    <row r="7" spans="1:13" ht="14.1" customHeight="1" x14ac:dyDescent="0.2">
      <c r="A7" s="118" t="str">
        <f>'t1'!A7</f>
        <v>DIRIGENTE I FASCIA</v>
      </c>
      <c r="B7" s="163" t="str">
        <f>'t1'!B7</f>
        <v>0D0077</v>
      </c>
      <c r="C7" s="310">
        <f>'t1'!C7+'t1'!D7</f>
        <v>0</v>
      </c>
      <c r="D7" s="310">
        <f>'t5'!U8+'t5'!V8</f>
        <v>0</v>
      </c>
      <c r="E7" s="311">
        <f>'t6'!U8+'t6'!V8</f>
        <v>0</v>
      </c>
      <c r="F7" s="311">
        <f>'t4'!$D$31</f>
        <v>0</v>
      </c>
      <c r="G7" s="311">
        <f>C7-D7+E7+F7</f>
        <v>0</v>
      </c>
      <c r="H7" s="311">
        <f>'t4'!S16</f>
        <v>0</v>
      </c>
      <c r="I7" s="92" t="str">
        <f t="shared" ref="I7:I16" si="0">IF(H7&lt;=G7,"OK","ERRORE")</f>
        <v>OK</v>
      </c>
    </row>
    <row r="8" spans="1:13" ht="14.1" customHeight="1" x14ac:dyDescent="0.2">
      <c r="A8" s="118" t="str">
        <f>'t1'!A8</f>
        <v>DIRIGENTE I FASCIA A TEMPO DETERM.</v>
      </c>
      <c r="B8" s="163" t="str">
        <f>'t1'!B8</f>
        <v>0D0078</v>
      </c>
      <c r="C8" s="310">
        <f>'t1'!C8+'t1'!D8</f>
        <v>0</v>
      </c>
      <c r="D8" s="310">
        <f>'t5'!U9+'t5'!V9</f>
        <v>0</v>
      </c>
      <c r="E8" s="311">
        <f>'t6'!U9+'t6'!V9</f>
        <v>0</v>
      </c>
      <c r="F8" s="311">
        <f>'t4'!$E$31</f>
        <v>0</v>
      </c>
      <c r="G8" s="311">
        <f t="shared" ref="G8:G16" si="1">C8-D8+E8+F8</f>
        <v>0</v>
      </c>
      <c r="H8" s="311">
        <f>'t4'!S17</f>
        <v>0</v>
      </c>
      <c r="I8" s="92" t="str">
        <f t="shared" si="0"/>
        <v>OK</v>
      </c>
    </row>
    <row r="9" spans="1:13" ht="14.1" customHeight="1" x14ac:dyDescent="0.2">
      <c r="A9" s="118" t="str">
        <f>'t1'!A9</f>
        <v>DIRIGENTE II FASCIA</v>
      </c>
      <c r="B9" s="163" t="str">
        <f>'t1'!B9</f>
        <v>0D0079</v>
      </c>
      <c r="C9" s="310">
        <f>'t1'!C9+'t1'!D9</f>
        <v>0</v>
      </c>
      <c r="D9" s="310">
        <f>'t5'!U10+'t5'!V10</f>
        <v>0</v>
      </c>
      <c r="E9" s="311">
        <f>'t6'!U10+'t6'!V10</f>
        <v>0</v>
      </c>
      <c r="F9" s="311">
        <f>'t4'!$F$31</f>
        <v>0</v>
      </c>
      <c r="G9" s="311">
        <f t="shared" si="1"/>
        <v>0</v>
      </c>
      <c r="H9" s="311">
        <f>'t4'!S18</f>
        <v>0</v>
      </c>
      <c r="I9" s="92" t="str">
        <f t="shared" si="0"/>
        <v>OK</v>
      </c>
    </row>
    <row r="10" spans="1:13" ht="14.1" customHeight="1" x14ac:dyDescent="0.2">
      <c r="A10" s="118" t="str">
        <f>'t1'!A10</f>
        <v>DIRIGENTE II FASCIA A TEMPO DETERM.</v>
      </c>
      <c r="B10" s="163" t="str">
        <f>'t1'!B10</f>
        <v>0D0080</v>
      </c>
      <c r="C10" s="310">
        <f>'t1'!C10+'t1'!D10</f>
        <v>0</v>
      </c>
      <c r="D10" s="310">
        <f>'t5'!U11+'t5'!V11</f>
        <v>0</v>
      </c>
      <c r="E10" s="311">
        <f>'t6'!U11+'t6'!V11</f>
        <v>0</v>
      </c>
      <c r="F10" s="311">
        <f>'t4'!$G$31</f>
        <v>0</v>
      </c>
      <c r="G10" s="311">
        <f t="shared" si="1"/>
        <v>0</v>
      </c>
      <c r="H10" s="311">
        <f>'t4'!S19</f>
        <v>0</v>
      </c>
      <c r="I10" s="92" t="str">
        <f t="shared" si="0"/>
        <v>OK</v>
      </c>
    </row>
    <row r="11" spans="1:13" ht="14.1" customHeight="1" x14ac:dyDescent="0.2">
      <c r="A11" s="118" t="str">
        <f>'t1'!A11</f>
        <v>MEDICO II FASCIA T.P.</v>
      </c>
      <c r="B11" s="163" t="str">
        <f>'t1'!B11</f>
        <v>0D0584</v>
      </c>
      <c r="C11" s="310">
        <f>'t1'!C11+'t1'!D11</f>
        <v>0</v>
      </c>
      <c r="D11" s="310">
        <f>'t5'!U12+'t5'!V12</f>
        <v>0</v>
      </c>
      <c r="E11" s="311">
        <f>'t6'!U12+'t6'!V12</f>
        <v>0</v>
      </c>
      <c r="F11" s="311">
        <f>'t4'!$H$31</f>
        <v>0</v>
      </c>
      <c r="G11" s="311">
        <f t="shared" si="1"/>
        <v>0</v>
      </c>
      <c r="H11" s="311">
        <f>'t4'!S20</f>
        <v>0</v>
      </c>
      <c r="I11" s="92" t="str">
        <f t="shared" si="0"/>
        <v>OK</v>
      </c>
    </row>
    <row r="12" spans="1:13" ht="14.1" customHeight="1" x14ac:dyDescent="0.2">
      <c r="A12" s="118" t="str">
        <f>'t1'!A12</f>
        <v>MEDICO I FASCIA T.P.</v>
      </c>
      <c r="B12" s="163" t="str">
        <f>'t1'!B12</f>
        <v>0D0585</v>
      </c>
      <c r="C12" s="310">
        <f>'t1'!C12+'t1'!D12</f>
        <v>0</v>
      </c>
      <c r="D12" s="310">
        <f>'t5'!U13+'t5'!V13</f>
        <v>0</v>
      </c>
      <c r="E12" s="311">
        <f>'t6'!U13+'t6'!V13</f>
        <v>0</v>
      </c>
      <c r="F12" s="311">
        <f>'t4'!$I$31</f>
        <v>0</v>
      </c>
      <c r="G12" s="311">
        <f t="shared" si="1"/>
        <v>0</v>
      </c>
      <c r="H12" s="311">
        <f>'t4'!S21</f>
        <v>0</v>
      </c>
      <c r="I12" s="92" t="str">
        <f t="shared" si="0"/>
        <v>OK</v>
      </c>
    </row>
    <row r="13" spans="1:13" ht="14.1" customHeight="1" x14ac:dyDescent="0.2">
      <c r="A13" s="118" t="str">
        <f>'t1'!A13</f>
        <v>MEDICO II FASCIA T.D.</v>
      </c>
      <c r="B13" s="163" t="str">
        <f>'t1'!B13</f>
        <v>0D0586</v>
      </c>
      <c r="C13" s="310">
        <f>'t1'!C13+'t1'!D13</f>
        <v>0</v>
      </c>
      <c r="D13" s="310">
        <f>'t5'!U14+'t5'!V14</f>
        <v>0</v>
      </c>
      <c r="E13" s="311">
        <f>'t6'!U14+'t6'!V14</f>
        <v>0</v>
      </c>
      <c r="F13" s="311">
        <f>'t4'!$J$31</f>
        <v>0</v>
      </c>
      <c r="G13" s="311">
        <f t="shared" si="1"/>
        <v>0</v>
      </c>
      <c r="H13" s="311">
        <f>'t4'!S22</f>
        <v>0</v>
      </c>
      <c r="I13" s="92" t="str">
        <f t="shared" si="0"/>
        <v>OK</v>
      </c>
    </row>
    <row r="14" spans="1:13" ht="14.1" customHeight="1" x14ac:dyDescent="0.2">
      <c r="A14" s="118" t="str">
        <f>'t1'!A14</f>
        <v>MEDICO I FASCIA T.D.</v>
      </c>
      <c r="B14" s="163" t="str">
        <f>'t1'!B14</f>
        <v>0D0496</v>
      </c>
      <c r="C14" s="310">
        <f>'t1'!C14+'t1'!D14</f>
        <v>0</v>
      </c>
      <c r="D14" s="310">
        <f>'t5'!U15+'t5'!V15</f>
        <v>0</v>
      </c>
      <c r="E14" s="311">
        <f>'t6'!U15+'t6'!V15</f>
        <v>0</v>
      </c>
      <c r="F14" s="311">
        <f>'t4'!$K$31</f>
        <v>0</v>
      </c>
      <c r="G14" s="311">
        <f t="shared" si="1"/>
        <v>0</v>
      </c>
      <c r="H14" s="311">
        <f>'t4'!S23</f>
        <v>0</v>
      </c>
      <c r="I14" s="92" t="str">
        <f t="shared" si="0"/>
        <v>OK</v>
      </c>
    </row>
    <row r="15" spans="1:13" ht="14.1" customHeight="1" x14ac:dyDescent="0.2">
      <c r="A15" s="118" t="str">
        <f>'t1'!A15</f>
        <v>PROFESSIONISTI II LIVELLO</v>
      </c>
      <c r="B15" s="163" t="str">
        <f>'t1'!B15</f>
        <v>0D0PR2</v>
      </c>
      <c r="C15" s="310">
        <f>'t1'!C15+'t1'!D15</f>
        <v>0</v>
      </c>
      <c r="D15" s="310">
        <f>'t5'!U16+'t5'!V16</f>
        <v>0</v>
      </c>
      <c r="E15" s="311">
        <f>'t6'!U16+'t6'!V16</f>
        <v>0</v>
      </c>
      <c r="F15" s="311">
        <f>'t4'!$L$31</f>
        <v>0</v>
      </c>
      <c r="G15" s="311">
        <f t="shared" si="1"/>
        <v>0</v>
      </c>
      <c r="H15" s="311">
        <f>'t4'!S24</f>
        <v>0</v>
      </c>
      <c r="I15" s="92" t="str">
        <f t="shared" si="0"/>
        <v>OK</v>
      </c>
    </row>
    <row r="16" spans="1:13" ht="14.1" customHeight="1" x14ac:dyDescent="0.2">
      <c r="A16" s="118" t="str">
        <f>'t1'!A16</f>
        <v>PROFESSIONISTI I LIVELLO</v>
      </c>
      <c r="B16" s="163" t="str">
        <f>'t1'!B16</f>
        <v>0D0PR1</v>
      </c>
      <c r="C16" s="310">
        <f>'t1'!C16+'t1'!D16</f>
        <v>0</v>
      </c>
      <c r="D16" s="310">
        <f>'t5'!U17+'t5'!V17</f>
        <v>0</v>
      </c>
      <c r="E16" s="311">
        <f>'t6'!U17+'t6'!V17</f>
        <v>0</v>
      </c>
      <c r="F16" s="311">
        <f>'t4'!$M$31</f>
        <v>0</v>
      </c>
      <c r="G16" s="311">
        <f t="shared" si="1"/>
        <v>0</v>
      </c>
      <c r="H16" s="311">
        <f>'t4'!S25</f>
        <v>0</v>
      </c>
      <c r="I16" s="92" t="str">
        <f t="shared" si="0"/>
        <v>OK</v>
      </c>
    </row>
    <row r="17" spans="1:9" ht="14.1" customHeight="1" x14ac:dyDescent="0.2">
      <c r="A17" s="118" t="str">
        <f>'t1'!A17</f>
        <v>ELEVATE PROFESSIONALITA'</v>
      </c>
      <c r="B17" s="163" t="str">
        <f>'t1'!B17</f>
        <v>0EP981</v>
      </c>
      <c r="C17" s="310">
        <f>'t1'!C17+'t1'!D17</f>
        <v>0</v>
      </c>
      <c r="D17" s="310">
        <f>'t5'!U18+'t5'!V18</f>
        <v>0</v>
      </c>
      <c r="E17" s="311">
        <f>'t6'!U18+'t6'!V18</f>
        <v>0</v>
      </c>
      <c r="F17" s="311">
        <f>'t4'!$N$31</f>
        <v>0</v>
      </c>
      <c r="G17" s="311">
        <f>C17-D17+E17+F17</f>
        <v>0</v>
      </c>
      <c r="H17" s="311">
        <f>'t4'!S26</f>
        <v>0</v>
      </c>
      <c r="I17" s="92" t="str">
        <f>IF(H17&lt;=G17,"OK","ERRORE")</f>
        <v>OK</v>
      </c>
    </row>
    <row r="18" spans="1:9" ht="14.1" customHeight="1" x14ac:dyDescent="0.2">
      <c r="A18" s="118" t="str">
        <f>'t1'!A18</f>
        <v>FUNZIONARI</v>
      </c>
      <c r="B18" s="163" t="str">
        <f>'t1'!B18</f>
        <v>0FZ000</v>
      </c>
      <c r="C18" s="310">
        <f>'t1'!C18+'t1'!D18</f>
        <v>0</v>
      </c>
      <c r="D18" s="310">
        <f>'t5'!U19+'t5'!V19</f>
        <v>0</v>
      </c>
      <c r="E18" s="311">
        <f>'t6'!U19+'t6'!V19</f>
        <v>0</v>
      </c>
      <c r="F18" s="311">
        <f>'t4'!$O$31</f>
        <v>0</v>
      </c>
      <c r="G18" s="311">
        <f>C18-D18+E18+F18</f>
        <v>0</v>
      </c>
      <c r="H18" s="311">
        <f>'t4'!S27</f>
        <v>0</v>
      </c>
      <c r="I18" s="92" t="str">
        <f>IF(H18&lt;=G18,"OK","ERRORE")</f>
        <v>OK</v>
      </c>
    </row>
    <row r="19" spans="1:9" ht="14.1" customHeight="1" x14ac:dyDescent="0.2">
      <c r="A19" s="118" t="str">
        <f>'t1'!A19</f>
        <v>ASSISTENTI</v>
      </c>
      <c r="B19" s="163" t="str">
        <f>'t1'!B19</f>
        <v>0AS000</v>
      </c>
      <c r="C19" s="310">
        <f>'t1'!C19+'t1'!D19</f>
        <v>1</v>
      </c>
      <c r="D19" s="310">
        <f>'t5'!U20+'t5'!V20</f>
        <v>0</v>
      </c>
      <c r="E19" s="311">
        <f>'t6'!U20+'t6'!V20</f>
        <v>0</v>
      </c>
      <c r="F19" s="311">
        <f>'t4'!$P$31</f>
        <v>0</v>
      </c>
      <c r="G19" s="311">
        <f>C19-D19+E19+F19</f>
        <v>1</v>
      </c>
      <c r="H19" s="311">
        <f>'t4'!S28</f>
        <v>0</v>
      </c>
      <c r="I19" s="92" t="str">
        <f>IF(H19&lt;=G19,"OK","ERRORE")</f>
        <v>OK</v>
      </c>
    </row>
    <row r="20" spans="1:9" ht="14.1" customHeight="1" x14ac:dyDescent="0.2">
      <c r="A20" s="118" t="str">
        <f>'t1'!A20</f>
        <v>OPERATORI</v>
      </c>
      <c r="B20" s="163" t="str">
        <f>'t1'!B20</f>
        <v>0OP000</v>
      </c>
      <c r="C20" s="310">
        <f>'t1'!C20+'t1'!D20</f>
        <v>0</v>
      </c>
      <c r="D20" s="310">
        <f>'t5'!U21+'t5'!V21</f>
        <v>0</v>
      </c>
      <c r="E20" s="311">
        <f>'t6'!U21+'t6'!V21</f>
        <v>0</v>
      </c>
      <c r="F20" s="311">
        <f>'t4'!$Q$31</f>
        <v>0</v>
      </c>
      <c r="G20" s="311">
        <f t="shared" ref="G20:G21" si="2">C20-D20+E20+F20</f>
        <v>0</v>
      </c>
      <c r="H20" s="311">
        <f>'t4'!S29</f>
        <v>0</v>
      </c>
      <c r="I20" s="92" t="str">
        <f>IF(H20&lt;=G20,"OK","ERRORE")</f>
        <v>OK</v>
      </c>
    </row>
    <row r="21" spans="1:9" ht="14.1" customHeight="1" x14ac:dyDescent="0.2">
      <c r="A21" s="118" t="str">
        <f>'t1'!A21</f>
        <v>CONTRATTISTI</v>
      </c>
      <c r="B21" s="163" t="str">
        <f>'t1'!B21</f>
        <v>000061</v>
      </c>
      <c r="C21" s="310">
        <f>'t1'!C21+'t1'!D21</f>
        <v>0</v>
      </c>
      <c r="D21" s="310">
        <f>'t5'!U22+'t5'!V22</f>
        <v>0</v>
      </c>
      <c r="E21" s="311">
        <f>'t6'!U22+'t6'!V22</f>
        <v>0</v>
      </c>
      <c r="F21" s="311">
        <f>'t4'!$R$31</f>
        <v>0</v>
      </c>
      <c r="G21" s="311">
        <f t="shared" si="2"/>
        <v>0</v>
      </c>
      <c r="H21" s="311">
        <f>'t4'!S30</f>
        <v>0</v>
      </c>
      <c r="I21" s="92" t="str">
        <f t="shared" ref="I21" si="3">IF(H21&lt;=G21,"OK","ERRORE")</f>
        <v>OK</v>
      </c>
    </row>
    <row r="22" spans="1:9" s="317" customFormat="1" ht="15.75" customHeight="1" x14ac:dyDescent="0.2">
      <c r="A22" s="603" t="str">
        <f>'t1'!A22</f>
        <v>TOTALE</v>
      </c>
      <c r="B22" s="183"/>
      <c r="C22" s="334">
        <f t="shared" ref="C22:H22" si="4">SUM(C6:C21)</f>
        <v>1</v>
      </c>
      <c r="D22" s="334">
        <f t="shared" si="4"/>
        <v>0</v>
      </c>
      <c r="E22" s="334">
        <f t="shared" si="4"/>
        <v>0</v>
      </c>
      <c r="F22" s="334">
        <f t="shared" si="4"/>
        <v>0</v>
      </c>
      <c r="G22" s="334">
        <f t="shared" si="4"/>
        <v>1</v>
      </c>
      <c r="H22" s="334">
        <f t="shared" si="4"/>
        <v>0</v>
      </c>
      <c r="I22" s="156" t="str">
        <f>IF(H22&lt;=G22,"OK","ERRORE")</f>
        <v>OK</v>
      </c>
    </row>
  </sheetData>
  <sheetProtection algorithmName="SHA-512" hashValue="joaNVuhW8nrAhnfml0BBZxNzjO7sMFYqu3LCrTBcQazW9KscmuBh7UA1rDGueG/SkW9eozlowWTW/b3Bc15v5Q==" saltValue="M1FHdhFqRL/KfhchGijs2Q==" spinCount="100000" sheet="1" formatColumns="0" selectLockedCells="1" selectUnlockedCells="1"/>
  <mergeCells count="2">
    <mergeCell ref="D2:I2"/>
    <mergeCell ref="A1:G1"/>
  </mergeCells>
  <phoneticPr fontId="30" type="noConversion"/>
  <printOptions horizontalCentered="1" verticalCentered="1"/>
  <pageMargins left="0" right="0" top="0.15748031496062992" bottom="0.15748031496062992" header="0.19685039370078741" footer="0.19685039370078741"/>
  <pageSetup paperSize="9" scale="80" orientation="landscape" horizontalDpi="300" verticalDpi="4294967292" r:id="rId1"/>
  <headerFooter alignWithMargins="0"/>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Foglio32">
    <pageSetUpPr fitToPage="1"/>
  </sheetPr>
  <dimension ref="A1:H13"/>
  <sheetViews>
    <sheetView showGridLines="0" zoomScale="80" zoomScaleNormal="80" workbookViewId="0">
      <selection activeCell="AK1" sqref="AK1"/>
    </sheetView>
  </sheetViews>
  <sheetFormatPr defaultColWidth="9.33203125" defaultRowHeight="11.25" x14ac:dyDescent="0.2"/>
  <cols>
    <col min="1" max="1" width="3" style="3" customWidth="1"/>
    <col min="2" max="2" width="54.1640625" style="3" customWidth="1"/>
    <col min="3" max="8" width="23.6640625" style="2" customWidth="1"/>
    <col min="9" max="16384" width="9.33203125" style="3"/>
  </cols>
  <sheetData>
    <row r="1" spans="1:8" ht="43.5" customHeight="1" x14ac:dyDescent="0.2">
      <c r="A1" s="1163" t="str">
        <f>'t1'!A1</f>
        <v>ENTI PUBBLICI NON ECONOMICI - anno 2024</v>
      </c>
      <c r="B1" s="1163"/>
      <c r="C1" s="1163"/>
      <c r="D1" s="1163"/>
      <c r="E1" s="1163"/>
      <c r="F1" s="1163"/>
      <c r="G1" s="1163"/>
      <c r="H1" s="1163"/>
    </row>
    <row r="2" spans="1:8" ht="21" customHeight="1" x14ac:dyDescent="0.25">
      <c r="A2" s="173" t="s">
        <v>860</v>
      </c>
      <c r="B2" s="173"/>
      <c r="G2" s="3"/>
      <c r="H2" s="3"/>
    </row>
    <row r="3" spans="1:8" ht="21" customHeight="1" thickBot="1" x14ac:dyDescent="0.25">
      <c r="C3" s="3"/>
      <c r="D3" s="3"/>
      <c r="E3" s="3"/>
      <c r="F3" s="3"/>
      <c r="G3" s="3"/>
      <c r="H3" s="3"/>
    </row>
    <row r="4" spans="1:8" ht="70.150000000000006" customHeight="1" thickBot="1" x14ac:dyDescent="0.25">
      <c r="A4" s="1164" t="s">
        <v>861</v>
      </c>
      <c r="B4" s="873"/>
      <c r="C4" s="1583" t="str">
        <f>IF(ABS(SUM('t15(1)'!G:G))+ABS(SUM('t15(2)'!G:G))+ABS(SUM('t15(3)'!G:G))+ABS(SUM('t15(4)'!G:G))+ABS(SUM('t15(5)'!G:G))=0,"OK",IF(H8&gt;H9+1000,"Attenzione, il limite 2016 (€ "&amp;TEXT(H9,"#.##0")&amp;") risulta non rispettato per il complesso dell'amministrazione (€ "&amp;TEXT(H8,"#.##0")&amp;")","OK"))</f>
        <v>OK</v>
      </c>
      <c r="D4" s="1583"/>
      <c r="E4" s="1583"/>
      <c r="F4" s="1583"/>
      <c r="G4" s="1583"/>
      <c r="H4" s="1583"/>
    </row>
    <row r="5" spans="1:8" ht="49.5" customHeight="1" thickBot="1" x14ac:dyDescent="0.25">
      <c r="A5" s="864" t="s">
        <v>638</v>
      </c>
      <c r="B5" s="871"/>
      <c r="C5" s="872" t="s">
        <v>862</v>
      </c>
      <c r="D5" s="872" t="s">
        <v>863</v>
      </c>
      <c r="E5" s="872" t="s">
        <v>864</v>
      </c>
      <c r="F5" s="872" t="s">
        <v>865</v>
      </c>
      <c r="G5" s="872" t="s">
        <v>866</v>
      </c>
      <c r="H5" s="872" t="s">
        <v>867</v>
      </c>
    </row>
    <row r="6" spans="1:8" s="93" customFormat="1" ht="20.100000000000001" customHeight="1" x14ac:dyDescent="0.15">
      <c r="A6" s="1165" t="s">
        <v>868</v>
      </c>
      <c r="B6" s="1166" t="s">
        <v>869</v>
      </c>
      <c r="C6" s="1167">
        <f>'t15(1)'!C40</f>
        <v>0</v>
      </c>
      <c r="D6" s="1167">
        <f>'t15(2)'!C43</f>
        <v>0</v>
      </c>
      <c r="E6" s="1167">
        <f>'t15(3)'!C42</f>
        <v>0</v>
      </c>
      <c r="F6" s="1167">
        <f>'t15(4)'!C44</f>
        <v>0</v>
      </c>
      <c r="G6" s="1167">
        <f>'t15(5)'!C52</f>
        <v>0</v>
      </c>
      <c r="H6" s="870">
        <f>SUM(C6:G6)</f>
        <v>0</v>
      </c>
    </row>
    <row r="7" spans="1:8" s="93" customFormat="1" ht="20.100000000000001" customHeight="1" x14ac:dyDescent="0.15">
      <c r="A7" s="1168" t="s">
        <v>870</v>
      </c>
      <c r="B7" s="1169" t="s">
        <v>871</v>
      </c>
      <c r="C7" s="1170">
        <f>'SICI(1)'!F21</f>
        <v>0</v>
      </c>
      <c r="D7" s="1170">
        <f>'SICI(2)'!F25</f>
        <v>0</v>
      </c>
      <c r="E7" s="1170">
        <f>'SICI(3)'!F25</f>
        <v>0</v>
      </c>
      <c r="F7" s="1170">
        <f>'SICI(4)'!F25</f>
        <v>0</v>
      </c>
      <c r="G7" s="1170">
        <f>'SICI(5)'!F29</f>
        <v>0</v>
      </c>
      <c r="H7" s="857">
        <f>SUM(C7:G7)</f>
        <v>0</v>
      </c>
    </row>
    <row r="8" spans="1:8" s="858" customFormat="1" ht="20.100000000000001" customHeight="1" x14ac:dyDescent="0.15">
      <c r="A8" s="1171" t="s">
        <v>872</v>
      </c>
      <c r="B8" s="1172" t="s">
        <v>873</v>
      </c>
      <c r="C8" s="1173">
        <f>C6-C7</f>
        <v>0</v>
      </c>
      <c r="D8" s="1173">
        <f>D6-D7</f>
        <v>0</v>
      </c>
      <c r="E8" s="1173">
        <f>E6-E7</f>
        <v>0</v>
      </c>
      <c r="F8" s="1173">
        <f>F6-F7</f>
        <v>0</v>
      </c>
      <c r="G8" s="1173">
        <f>G6-G7</f>
        <v>0</v>
      </c>
      <c r="H8" s="869">
        <f>SUM(C8:G8)</f>
        <v>0</v>
      </c>
    </row>
    <row r="9" spans="1:8" s="93" customFormat="1" ht="20.100000000000001" customHeight="1" x14ac:dyDescent="0.15">
      <c r="A9" s="1168" t="s">
        <v>874</v>
      </c>
      <c r="B9" s="1174" t="s">
        <v>875</v>
      </c>
      <c r="C9" s="1175">
        <f>'SICI(1)'!F19</f>
        <v>0</v>
      </c>
      <c r="D9" s="1175">
        <f>'SICI(2)'!F23</f>
        <v>0</v>
      </c>
      <c r="E9" s="1175">
        <f>'SICI(3)'!F23</f>
        <v>0</v>
      </c>
      <c r="F9" s="1175">
        <f>'SICI(4)'!F23</f>
        <v>0</v>
      </c>
      <c r="G9" s="1175">
        <f>'SICI(5)'!F27</f>
        <v>0</v>
      </c>
      <c r="H9" s="857">
        <f>SUM(C9:G9)</f>
        <v>0</v>
      </c>
    </row>
    <row r="10" spans="1:8" s="93" customFormat="1" ht="40.15" customHeight="1" x14ac:dyDescent="0.15">
      <c r="A10" s="1168" t="s">
        <v>876</v>
      </c>
      <c r="B10" s="1176" t="s">
        <v>172</v>
      </c>
      <c r="C10" s="1177" t="str">
        <f>IF(SUM(C8:C9)=0,"","Limite 2016 specifica macrocategoria "&amp;IF(C9&gt;=C8,"rispettato","non rispettato"))</f>
        <v/>
      </c>
      <c r="D10" s="1177" t="str">
        <f>IF(SUM(D8:D9)=0,"","Limite 2016 specifica macrocategoria "&amp;IF(D9&gt;=D8,"rispettato","non rispettato"))</f>
        <v/>
      </c>
      <c r="E10" s="1177" t="str">
        <f>IF(SUM(E8:E9)=0,"","Limite 2016 specifica macrocategoria "&amp;IF(E9&gt;=E8,"rispettato","non rispettato"))</f>
        <v/>
      </c>
      <c r="F10" s="1177" t="str">
        <f>IF(SUM(F8:F9)=0,"","Limite 2016 specifica macrocategoria "&amp;IF(F9&gt;=F8,"rispettato","non rispettato"))</f>
        <v/>
      </c>
      <c r="G10" s="1177" t="str">
        <f>IF(SUM(G8:G9)=0,"","Limite 2016 specifica macrocategoria "&amp;IF(G9&gt;=G8,"rispettato","non rispettato"))</f>
        <v/>
      </c>
      <c r="H10" s="859"/>
    </row>
    <row r="12" spans="1:8" x14ac:dyDescent="0.2">
      <c r="A12" s="3" t="s">
        <v>877</v>
      </c>
    </row>
    <row r="13" spans="1:8" x14ac:dyDescent="0.2">
      <c r="A13" s="3" t="s">
        <v>878</v>
      </c>
    </row>
  </sheetData>
  <sheetProtection algorithmName="SHA-512" hashValue="z9yFa81s8+iV78J4WfNcwu4X6TXQw9wOW1QYhWZz92Xf2azw/tjtixup/tEsvu+fWB8HpJG9Lfrm/8V8adztGg==" saltValue="9m0sJqmjCFZnmWUb746pIA==" spinCount="100000" sheet="1" formatColumns="0" selectLockedCells="1"/>
  <mergeCells count="1">
    <mergeCell ref="C4:H4"/>
  </mergeCells>
  <printOptions horizontalCentered="1"/>
  <pageMargins left="0.39370078740157483" right="0.39370078740157483" top="0.78740157480314965" bottom="0.39370078740157483" header="0.19685039370078741" footer="0.19685039370078741"/>
  <pageSetup paperSize="9" scale="88" orientation="landscape" horizontalDpi="300" verticalDpi="4294967292" r:id="rId1"/>
  <headerFooter alignWithMargins="0"/>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oglio26"/>
  <dimension ref="A1:M21"/>
  <sheetViews>
    <sheetView showGridLines="0" topLeftCell="A10" workbookViewId="0">
      <selection activeCell="B5" sqref="B5"/>
    </sheetView>
  </sheetViews>
  <sheetFormatPr defaultColWidth="9.33203125" defaultRowHeight="11.25" x14ac:dyDescent="0.2"/>
  <cols>
    <col min="1" max="1" width="65.83203125" style="3" customWidth="1"/>
    <col min="2" max="3" width="19.6640625" style="3" customWidth="1"/>
    <col min="4" max="4" width="26.6640625" style="3" customWidth="1"/>
    <col min="5" max="5" width="25.1640625" style="3" customWidth="1"/>
    <col min="6" max="16384" width="9.33203125" style="3"/>
  </cols>
  <sheetData>
    <row r="1" spans="1:13" ht="43.5" customHeight="1" x14ac:dyDescent="0.2">
      <c r="A1" s="1447" t="str">
        <f>'t1'!A1</f>
        <v>ENTI PUBBLICI NON ECONOMICI - anno 2024</v>
      </c>
      <c r="B1" s="1447"/>
      <c r="C1" s="1447"/>
      <c r="D1" s="1447"/>
      <c r="E1" s="285"/>
      <c r="F1" s="288"/>
      <c r="G1" s="288"/>
      <c r="H1" s="288"/>
      <c r="I1" s="288"/>
      <c r="M1"/>
    </row>
    <row r="2" spans="1:13" ht="16.5" thickBot="1" x14ac:dyDescent="0.3">
      <c r="A2" s="749" t="s">
        <v>606</v>
      </c>
      <c r="C2" s="1537"/>
      <c r="D2" s="1537"/>
      <c r="E2" s="1537"/>
      <c r="F2" s="289"/>
      <c r="G2" s="289"/>
      <c r="H2" s="289"/>
      <c r="I2" s="289"/>
      <c r="M2"/>
    </row>
    <row r="3" spans="1:13" ht="30" customHeight="1" thickBot="1" x14ac:dyDescent="0.3">
      <c r="A3" s="1584" t="s">
        <v>607</v>
      </c>
      <c r="B3" s="1585"/>
      <c r="C3" s="1585"/>
      <c r="D3" s="1585"/>
      <c r="E3" s="1586"/>
    </row>
    <row r="4" spans="1:13" s="174" customFormat="1" ht="31.5" x14ac:dyDescent="0.15">
      <c r="A4" s="561" t="s">
        <v>608</v>
      </c>
      <c r="B4" s="562" t="s">
        <v>609</v>
      </c>
      <c r="C4" s="562" t="s">
        <v>216</v>
      </c>
      <c r="D4" s="563" t="s">
        <v>217</v>
      </c>
      <c r="E4" s="564" t="s">
        <v>394</v>
      </c>
    </row>
    <row r="5" spans="1:13" ht="20.25" customHeight="1" x14ac:dyDescent="0.2">
      <c r="A5" s="177" t="s">
        <v>1079</v>
      </c>
      <c r="B5" s="668">
        <f>SI_1!G56</f>
        <v>1</v>
      </c>
      <c r="C5" s="181">
        <f>'t14'!D12</f>
        <v>2435</v>
      </c>
      <c r="D5" s="184" t="str">
        <f>IF(B5=0,IF(C5=0,"OK","MANCANO LE UNITA'"),IF(C5=0,"MANCANO LE SPESE","OK"))</f>
        <v>OK</v>
      </c>
      <c r="E5" s="180">
        <f>IF(AND(B5&gt;0,C5&gt;0),C5/B5," ")</f>
        <v>2435</v>
      </c>
    </row>
    <row r="6" spans="1:13" ht="20.25" customHeight="1" x14ac:dyDescent="0.2">
      <c r="A6" s="177" t="s">
        <v>1080</v>
      </c>
      <c r="B6" s="668">
        <f>SI_1!G59</f>
        <v>0</v>
      </c>
      <c r="C6" s="181">
        <f>'t14'!D13</f>
        <v>0</v>
      </c>
      <c r="D6" s="184" t="str">
        <f>IF(B6=0,IF(C6=0,"OK","MANCANO LE UNITA'"),IF(C6=0,"MANCANO LE SPESE","OK"))</f>
        <v>OK</v>
      </c>
      <c r="E6" s="180" t="str">
        <f>IF(AND(B6&gt;0,C6&gt;0),C6/B6," ")</f>
        <v xml:space="preserve"> </v>
      </c>
    </row>
    <row r="7" spans="1:13" ht="20.25" customHeight="1" thickBot="1" x14ac:dyDescent="0.25">
      <c r="A7" s="178" t="s">
        <v>2</v>
      </c>
      <c r="B7" s="669">
        <f>SI_1!G62</f>
        <v>0</v>
      </c>
      <c r="C7" s="182">
        <f>'t14'!D14</f>
        <v>0</v>
      </c>
      <c r="D7" s="185" t="str">
        <f>IF(B7=0,IF(C7=0,"OK","MANCANO LE UNITA'"),IF(C7=0,"MANCANO LE SPESE","OK"))</f>
        <v>OK</v>
      </c>
      <c r="E7" s="448" t="str">
        <f>IF(AND(B7&gt;0,C7&gt;0),C7/B7," ")</f>
        <v xml:space="preserve"> </v>
      </c>
    </row>
    <row r="10" spans="1:13" ht="16.5" thickBot="1" x14ac:dyDescent="0.3">
      <c r="A10" s="750" t="s">
        <v>610</v>
      </c>
    </row>
    <row r="11" spans="1:13" ht="30" customHeight="1" thickBot="1" x14ac:dyDescent="0.3">
      <c r="A11" s="1584" t="s">
        <v>611</v>
      </c>
      <c r="B11" s="1585"/>
      <c r="C11" s="1585"/>
      <c r="D11" s="1585"/>
      <c r="E11" s="1586"/>
    </row>
    <row r="12" spans="1:13" s="174" customFormat="1" ht="32.25" thickBot="1" x14ac:dyDescent="0.2">
      <c r="A12" s="561" t="s">
        <v>612</v>
      </c>
      <c r="B12" s="562" t="s">
        <v>613</v>
      </c>
      <c r="C12" s="562" t="s">
        <v>216</v>
      </c>
      <c r="D12" s="563" t="s">
        <v>217</v>
      </c>
      <c r="E12" s="564" t="s">
        <v>394</v>
      </c>
    </row>
    <row r="13" spans="1:13" ht="20.25" customHeight="1" x14ac:dyDescent="0.2">
      <c r="A13" s="445" t="s">
        <v>176</v>
      </c>
      <c r="B13" s="667">
        <f>'t2'!C13+'t2'!D13</f>
        <v>0</v>
      </c>
      <c r="C13" s="446">
        <f>'t14'!D16</f>
        <v>0</v>
      </c>
      <c r="D13" s="447" t="str">
        <f>IF(B13=0,IF(C13=0,"OK","MANCANO LE UNITA'"),IF(C13=0,"MANCANO LE SPESE","OK"))</f>
        <v>OK</v>
      </c>
      <c r="E13" s="179" t="str">
        <f>IF(AND(B13&gt;0,C13&gt;0),C13/B13," ")</f>
        <v xml:space="preserve"> </v>
      </c>
    </row>
    <row r="14" spans="1:13" ht="20.25" customHeight="1" x14ac:dyDescent="0.2">
      <c r="A14" s="177" t="s">
        <v>177</v>
      </c>
      <c r="B14" s="668">
        <f>'t2'!E13+'t2'!F13</f>
        <v>0</v>
      </c>
      <c r="C14" s="181">
        <f>'t14'!D17</f>
        <v>0</v>
      </c>
      <c r="D14" s="184" t="str">
        <f>IF(B14=0,IF(C14=0,"OK","MANCANO LE UNITA'"),IF(C14=0,"MANCANO LE SPESE","OK"))</f>
        <v>OK</v>
      </c>
      <c r="E14" s="180" t="str">
        <f>IF(AND(B14&gt;0,C14&gt;0),C14/B14," ")</f>
        <v xml:space="preserve"> </v>
      </c>
    </row>
    <row r="15" spans="1:13" ht="20.25" customHeight="1" x14ac:dyDescent="0.2">
      <c r="A15" s="177" t="s">
        <v>46</v>
      </c>
      <c r="B15" s="668">
        <f>'t2'!G13+'t2'!H13</f>
        <v>0</v>
      </c>
      <c r="C15" s="181">
        <f>'t14'!D23</f>
        <v>0</v>
      </c>
      <c r="D15" s="184" t="str">
        <f>IF(B15=0,IF(C15=0,"OK","MANCANO LE UNITA'"),IF(C15=0,"MANCANO LE SPESE","OK"))</f>
        <v>OK</v>
      </c>
      <c r="E15" s="180" t="str">
        <f>IF(AND(B15&gt;0,C15&gt;0),C15/B15," ")</f>
        <v xml:space="preserve"> </v>
      </c>
    </row>
    <row r="16" spans="1:13" ht="20.25" customHeight="1" x14ac:dyDescent="0.2">
      <c r="A16" s="177" t="s">
        <v>178</v>
      </c>
      <c r="B16" s="668">
        <f>'t2'!I13+'t2'!J13</f>
        <v>0</v>
      </c>
      <c r="C16" s="181">
        <f>'t14'!D24</f>
        <v>0</v>
      </c>
      <c r="D16" s="184" t="str">
        <f>IF(B16=0,IF(C16=0,"OK","MANCANO LE UNITA'"),IF(C16=0,"MANCANO LE SPESE","OK"))</f>
        <v>OK</v>
      </c>
      <c r="E16" s="180" t="str">
        <f>IF(AND(B16&gt;0,C16&gt;0),C16/B16," ")</f>
        <v xml:space="preserve"> </v>
      </c>
    </row>
    <row r="17" spans="1:5" ht="14.1" customHeight="1" thickBot="1" x14ac:dyDescent="0.3">
      <c r="A17" s="751"/>
      <c r="B17" s="752"/>
      <c r="C17" s="752"/>
      <c r="D17" s="752"/>
      <c r="E17" s="753"/>
    </row>
    <row r="18" spans="1:5" s="174" customFormat="1" ht="31.5" x14ac:dyDescent="0.15">
      <c r="A18" s="450" t="s">
        <v>392</v>
      </c>
      <c r="B18" s="451" t="s">
        <v>393</v>
      </c>
      <c r="C18" s="451" t="s">
        <v>216</v>
      </c>
      <c r="D18" s="452" t="s">
        <v>396</v>
      </c>
      <c r="E18" s="578" t="s">
        <v>395</v>
      </c>
    </row>
    <row r="19" spans="1:5" ht="27.75" customHeight="1" x14ac:dyDescent="0.2">
      <c r="A19" s="560" t="str">
        <f>'t14'!A10</f>
        <v>SOMME CORRISPOSTE AD AGENZIA DI SOMMINISTRAZIONE(INTERINALI)</v>
      </c>
      <c r="B19" s="92" t="str">
        <f>'t14'!B10</f>
        <v>L105</v>
      </c>
      <c r="C19" s="596">
        <f>'t14'!D10</f>
        <v>0</v>
      </c>
      <c r="D19" s="579" t="str">
        <f>(IF(AND(C19=0,C20&gt;0),"INSERIRE SOMME SPETTANTI ALL'AGENZIA (L105)","OK"))</f>
        <v>OK</v>
      </c>
      <c r="E19" s="1587" t="str">
        <f>(IF(AND(C19&gt;0,C20&gt;0),C19/C20," "))</f>
        <v xml:space="preserve"> </v>
      </c>
    </row>
    <row r="20" spans="1:5" ht="27.75" customHeight="1" x14ac:dyDescent="0.2">
      <c r="A20" s="565" t="str">
        <f>'t14'!A23</f>
        <v>ONERI PER I CONTRATTI DI SOMMINISTRAZIONE(INTERINALI)</v>
      </c>
      <c r="B20" s="566" t="str">
        <f>'t14'!B23</f>
        <v>P062</v>
      </c>
      <c r="C20" s="597">
        <f>'t14'!D23</f>
        <v>0</v>
      </c>
      <c r="D20" s="580" t="str">
        <f>(IF(AND(C20=0,C19&gt;0),"INSERIRE RETRIBUZIONI PER INTERINALI (P062)","OK"))</f>
        <v>OK</v>
      </c>
      <c r="E20" s="1588"/>
    </row>
    <row r="21" spans="1:5" ht="40.5" customHeight="1" thickBot="1" x14ac:dyDescent="0.25">
      <c r="A21" s="1590" t="s">
        <v>405</v>
      </c>
      <c r="B21" s="1591"/>
      <c r="C21" s="1592"/>
      <c r="D21" s="581" t="str">
        <f>(IF(AND(C19&gt;0,C20&gt;0),IF(C19&gt;(C20/100*30),"ATTENZIONE: la voce L105 supera il 30% della voce P062. L'IN1 andrà giustificata","OK"),"OK"))</f>
        <v>OK</v>
      </c>
      <c r="E21" s="1589"/>
    </row>
  </sheetData>
  <sheetProtection algorithmName="SHA-512" hashValue="l4FNi1rS8/gUFdv9fFE0cZYm9uZilsa0DE8xkjfw9/Inp4BEvU0YcA+MuxENXo+V55VYHmBE97QnGvRifnPQAg==" saltValue="l4ZE00Z8noj4Pu7ZeIe52w==" spinCount="100000" sheet="1" formatColumns="0" selectLockedCells="1" selectUnlockedCells="1"/>
  <mergeCells count="6">
    <mergeCell ref="A3:E3"/>
    <mergeCell ref="A1:D1"/>
    <mergeCell ref="C2:E2"/>
    <mergeCell ref="E19:E21"/>
    <mergeCell ref="A21:C21"/>
    <mergeCell ref="A11:E11"/>
  </mergeCells>
  <phoneticPr fontId="30" type="noConversion"/>
  <conditionalFormatting sqref="D5:D7 D13:D16 D19:D21">
    <cfRule type="notContainsText" dxfId="34" priority="1" stopIfTrue="1" operator="notContains" text="ok">
      <formula>ISERROR(SEARCH("ok",D5))</formula>
    </cfRule>
  </conditionalFormatting>
  <printOptions horizontalCentered="1" verticalCentered="1"/>
  <pageMargins left="0" right="0" top="0.19685039370078741" bottom="0.31496062992125984" header="0.51181102362204722" footer="0.51181102362204722"/>
  <pageSetup paperSize="9" scale="90" orientation="landscape" horizontalDpi="300" verticalDpi="4294967292" r:id="rId1"/>
  <headerFooter alignWithMargins="0"/>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oglio27"/>
  <dimension ref="A1:M21"/>
  <sheetViews>
    <sheetView showGridLines="0" workbookViewId="0">
      <pane ySplit="5" topLeftCell="A6" activePane="bottomLeft" state="frozen"/>
      <selection activeCell="A2" sqref="A2"/>
      <selection pane="bottomLeft" activeCell="B5" sqref="B5"/>
    </sheetView>
  </sheetViews>
  <sheetFormatPr defaultRowHeight="11.25" x14ac:dyDescent="0.2"/>
  <cols>
    <col min="1" max="1" width="38.6640625" style="3" customWidth="1"/>
    <col min="2" max="2" width="11.33203125" style="2" customWidth="1"/>
    <col min="3" max="3" width="13.1640625" style="2" customWidth="1"/>
    <col min="4" max="4" width="17.6640625" style="2" customWidth="1"/>
    <col min="5" max="6" width="15.6640625" style="2" customWidth="1"/>
    <col min="7" max="8" width="15.6640625" style="95" customWidth="1"/>
    <col min="9" max="9" width="18.33203125" style="95" customWidth="1"/>
    <col min="10" max="10" width="9.33203125" style="95" customWidth="1"/>
  </cols>
  <sheetData>
    <row r="1" spans="1:13" s="3" customFormat="1" ht="43.5" customHeight="1" x14ac:dyDescent="0.2">
      <c r="A1" s="1447" t="str">
        <f>'t1'!A1</f>
        <v>ENTI PUBBLICI NON ECONOMICI - anno 2024</v>
      </c>
      <c r="B1" s="1447"/>
      <c r="C1" s="1447"/>
      <c r="D1" s="1447"/>
      <c r="E1" s="1447"/>
      <c r="F1" s="1447"/>
      <c r="G1" s="1447"/>
      <c r="H1" s="1447"/>
      <c r="I1" s="285"/>
      <c r="M1"/>
    </row>
    <row r="2" spans="1:13" s="3" customFormat="1" ht="21" customHeight="1" x14ac:dyDescent="0.2">
      <c r="D2" s="1537"/>
      <c r="E2" s="1537"/>
      <c r="F2" s="1537"/>
      <c r="G2" s="1537"/>
      <c r="H2" s="1537"/>
      <c r="I2" s="1537"/>
      <c r="J2" s="289"/>
      <c r="M2"/>
    </row>
    <row r="3" spans="1:13" s="3" customFormat="1" ht="21" customHeight="1" x14ac:dyDescent="0.25">
      <c r="A3" s="173" t="s">
        <v>244</v>
      </c>
      <c r="B3" s="2"/>
      <c r="F3" s="2"/>
    </row>
    <row r="4" spans="1:13" ht="56.25" x14ac:dyDescent="0.15">
      <c r="A4" s="160" t="s">
        <v>218</v>
      </c>
      <c r="B4" s="161" t="s">
        <v>180</v>
      </c>
      <c r="C4" s="161" t="s">
        <v>219</v>
      </c>
      <c r="D4" s="161" t="s">
        <v>223</v>
      </c>
      <c r="E4" s="161" t="s">
        <v>224</v>
      </c>
      <c r="F4" s="161" t="s">
        <v>225</v>
      </c>
      <c r="G4" s="161" t="s">
        <v>179</v>
      </c>
      <c r="H4" s="161" t="s">
        <v>226</v>
      </c>
      <c r="I4" s="161" t="s">
        <v>364</v>
      </c>
    </row>
    <row r="5" spans="1:13" s="176" customFormat="1" ht="10.5" x14ac:dyDescent="0.15">
      <c r="A5" s="159"/>
      <c r="B5" s="171"/>
      <c r="C5" s="171" t="s">
        <v>182</v>
      </c>
      <c r="D5" s="171" t="s">
        <v>183</v>
      </c>
      <c r="E5" s="171" t="s">
        <v>220</v>
      </c>
      <c r="F5" s="171" t="s">
        <v>185</v>
      </c>
      <c r="G5" s="171" t="s">
        <v>221</v>
      </c>
      <c r="H5" s="171" t="s">
        <v>222</v>
      </c>
      <c r="I5" s="171" t="s">
        <v>365</v>
      </c>
      <c r="J5" s="175"/>
    </row>
    <row r="6" spans="1:13" ht="12.75" x14ac:dyDescent="0.2">
      <c r="A6" s="118" t="str">
        <f>'t1'!A6</f>
        <v>DIRETTORE GENERALE</v>
      </c>
      <c r="B6" s="92" t="str">
        <f>'t1'!B6</f>
        <v>0D0097</v>
      </c>
      <c r="C6" s="312">
        <f>'t12'!C6</f>
        <v>0</v>
      </c>
      <c r="D6" s="313">
        <f>'t12'!D6</f>
        <v>0</v>
      </c>
      <c r="E6" s="314" t="str">
        <f>IF(C6=0," ",D6/C6*12)</f>
        <v xml:space="preserve"> </v>
      </c>
      <c r="F6" s="333">
        <v>0</v>
      </c>
      <c r="G6" s="314" t="str">
        <f t="shared" ref="G6:G16" si="0">IF(E6=" "," ",E6-F6)</f>
        <v xml:space="preserve"> </v>
      </c>
      <c r="H6" s="315" t="str">
        <f t="shared" ref="H6:H16" si="1">IF(E6=" "," ",IF(F6=0," ",G6/F6))</f>
        <v xml:space="preserve"> </v>
      </c>
      <c r="I6" s="295" t="str">
        <f>IF(E6=" "," ",IF(F6=0," ",IF(ABS(H6)&gt;0.02,"ERRORE","OK")))</f>
        <v xml:space="preserve"> </v>
      </c>
    </row>
    <row r="7" spans="1:13" ht="12.75" x14ac:dyDescent="0.2">
      <c r="A7" s="118" t="str">
        <f>'t1'!A7</f>
        <v>DIRIGENTE I FASCIA</v>
      </c>
      <c r="B7" s="92" t="str">
        <f>'t1'!B7</f>
        <v>0D0077</v>
      </c>
      <c r="C7" s="312">
        <f>'t12'!C7</f>
        <v>0</v>
      </c>
      <c r="D7" s="313">
        <f>'t12'!D7</f>
        <v>0</v>
      </c>
      <c r="E7" s="314" t="str">
        <f t="shared" ref="E7:E16" si="2">IF(C7=0," ",D7/C7*12)</f>
        <v xml:space="preserve"> </v>
      </c>
      <c r="F7" s="333" t="s">
        <v>1175</v>
      </c>
      <c r="G7" s="314" t="str">
        <f t="shared" si="0"/>
        <v xml:space="preserve"> </v>
      </c>
      <c r="H7" s="315" t="str">
        <f t="shared" si="1"/>
        <v xml:space="preserve"> </v>
      </c>
      <c r="I7" s="295" t="str">
        <f t="shared" ref="I7:I16" si="3">IF(E7=" "," ",IF(F7=0," ",IF(ABS(H7)&gt;0.02,"ERRORE","OK")))</f>
        <v xml:space="preserve"> </v>
      </c>
    </row>
    <row r="8" spans="1:13" ht="12.75" x14ac:dyDescent="0.2">
      <c r="A8" s="118" t="str">
        <f>'t1'!A8</f>
        <v>DIRIGENTE I FASCIA A TEMPO DETERM.</v>
      </c>
      <c r="B8" s="92" t="str">
        <f>'t1'!B8</f>
        <v>0D0078</v>
      </c>
      <c r="C8" s="312">
        <f>'t12'!C8</f>
        <v>0</v>
      </c>
      <c r="D8" s="313">
        <f>'t12'!D8</f>
        <v>0</v>
      </c>
      <c r="E8" s="314" t="str">
        <f t="shared" si="2"/>
        <v xml:space="preserve"> </v>
      </c>
      <c r="F8" s="333" t="s">
        <v>1175</v>
      </c>
      <c r="G8" s="314" t="str">
        <f t="shared" si="0"/>
        <v xml:space="preserve"> </v>
      </c>
      <c r="H8" s="315" t="str">
        <f t="shared" si="1"/>
        <v xml:space="preserve"> </v>
      </c>
      <c r="I8" s="295" t="str">
        <f t="shared" si="3"/>
        <v xml:space="preserve"> </v>
      </c>
    </row>
    <row r="9" spans="1:13" ht="12.75" x14ac:dyDescent="0.2">
      <c r="A9" s="118" t="str">
        <f>'t1'!A9</f>
        <v>DIRIGENTE II FASCIA</v>
      </c>
      <c r="B9" s="92" t="str">
        <f>'t1'!B9</f>
        <v>0D0079</v>
      </c>
      <c r="C9" s="312">
        <f>'t12'!C9</f>
        <v>0</v>
      </c>
      <c r="D9" s="313">
        <f>'t12'!D9</f>
        <v>0</v>
      </c>
      <c r="E9" s="314" t="str">
        <f t="shared" si="2"/>
        <v xml:space="preserve"> </v>
      </c>
      <c r="F9" s="333" t="s">
        <v>1176</v>
      </c>
      <c r="G9" s="314" t="str">
        <f t="shared" si="0"/>
        <v xml:space="preserve"> </v>
      </c>
      <c r="H9" s="315" t="str">
        <f t="shared" si="1"/>
        <v xml:space="preserve"> </v>
      </c>
      <c r="I9" s="295" t="str">
        <f t="shared" si="3"/>
        <v xml:space="preserve"> </v>
      </c>
    </row>
    <row r="10" spans="1:13" ht="12.75" x14ac:dyDescent="0.2">
      <c r="A10" s="118" t="str">
        <f>'t1'!A10</f>
        <v>DIRIGENTE II FASCIA A TEMPO DETERM.</v>
      </c>
      <c r="B10" s="92" t="str">
        <f>'t1'!B10</f>
        <v>0D0080</v>
      </c>
      <c r="C10" s="312">
        <f>'t12'!C10</f>
        <v>0</v>
      </c>
      <c r="D10" s="313">
        <f>'t12'!D10</f>
        <v>0</v>
      </c>
      <c r="E10" s="314" t="str">
        <f t="shared" si="2"/>
        <v xml:space="preserve"> </v>
      </c>
      <c r="F10" s="333" t="s">
        <v>1176</v>
      </c>
      <c r="G10" s="314" t="str">
        <f t="shared" si="0"/>
        <v xml:space="preserve"> </v>
      </c>
      <c r="H10" s="315" t="str">
        <f t="shared" si="1"/>
        <v xml:space="preserve"> </v>
      </c>
      <c r="I10" s="295" t="str">
        <f t="shared" si="3"/>
        <v xml:space="preserve"> </v>
      </c>
    </row>
    <row r="11" spans="1:13" ht="12.75" x14ac:dyDescent="0.2">
      <c r="A11" s="118" t="str">
        <f>'t1'!A11</f>
        <v>MEDICO II FASCIA T.P.</v>
      </c>
      <c r="B11" s="92" t="str">
        <f>'t1'!B11</f>
        <v>0D0584</v>
      </c>
      <c r="C11" s="312">
        <f>'t12'!C11</f>
        <v>0</v>
      </c>
      <c r="D11" s="313">
        <f>'t12'!D11</f>
        <v>0</v>
      </c>
      <c r="E11" s="314" t="str">
        <f t="shared" si="2"/>
        <v xml:space="preserve"> </v>
      </c>
      <c r="F11" s="333">
        <v>45488.77</v>
      </c>
      <c r="G11" s="314" t="str">
        <f t="shared" si="0"/>
        <v xml:space="preserve"> </v>
      </c>
      <c r="H11" s="315" t="str">
        <f t="shared" si="1"/>
        <v xml:space="preserve"> </v>
      </c>
      <c r="I11" s="295" t="str">
        <f t="shared" si="3"/>
        <v xml:space="preserve"> </v>
      </c>
    </row>
    <row r="12" spans="1:13" ht="12.75" x14ac:dyDescent="0.2">
      <c r="A12" s="118" t="str">
        <f>'t1'!A12</f>
        <v>MEDICO I FASCIA T.P.</v>
      </c>
      <c r="B12" s="92" t="str">
        <f>'t1'!B12</f>
        <v>0D0585</v>
      </c>
      <c r="C12" s="312">
        <f>'t12'!C12</f>
        <v>0</v>
      </c>
      <c r="D12" s="313">
        <f>'t12'!D12</f>
        <v>0</v>
      </c>
      <c r="E12" s="314" t="str">
        <f t="shared" si="2"/>
        <v xml:space="preserve"> </v>
      </c>
      <c r="F12" s="333">
        <v>36293.08</v>
      </c>
      <c r="G12" s="314" t="str">
        <f t="shared" si="0"/>
        <v xml:space="preserve"> </v>
      </c>
      <c r="H12" s="315" t="str">
        <f t="shared" si="1"/>
        <v xml:space="preserve"> </v>
      </c>
      <c r="I12" s="295" t="str">
        <f t="shared" si="3"/>
        <v xml:space="preserve"> </v>
      </c>
    </row>
    <row r="13" spans="1:13" ht="12.75" x14ac:dyDescent="0.2">
      <c r="A13" s="118" t="str">
        <f>'t1'!A13</f>
        <v>MEDICO II FASCIA T.D.</v>
      </c>
      <c r="B13" s="92" t="str">
        <f>'t1'!B13</f>
        <v>0D0586</v>
      </c>
      <c r="C13" s="312">
        <f>'t12'!C13</f>
        <v>0</v>
      </c>
      <c r="D13" s="313">
        <f>'t12'!D13</f>
        <v>0</v>
      </c>
      <c r="E13" s="314" t="str">
        <f t="shared" si="2"/>
        <v xml:space="preserve"> </v>
      </c>
      <c r="F13" s="333">
        <v>34063.56</v>
      </c>
      <c r="G13" s="314" t="str">
        <f t="shared" si="0"/>
        <v xml:space="preserve"> </v>
      </c>
      <c r="H13" s="315" t="str">
        <f t="shared" si="1"/>
        <v xml:space="preserve"> </v>
      </c>
      <c r="I13" s="295" t="str">
        <f t="shared" si="3"/>
        <v xml:space="preserve"> </v>
      </c>
    </row>
    <row r="14" spans="1:13" ht="12.75" x14ac:dyDescent="0.2">
      <c r="A14" s="118" t="str">
        <f>'t1'!A14</f>
        <v>MEDICO I FASCIA T.D.</v>
      </c>
      <c r="B14" s="92" t="str">
        <f>'t1'!B14</f>
        <v>0D0496</v>
      </c>
      <c r="C14" s="312">
        <f>'t12'!C14</f>
        <v>0</v>
      </c>
      <c r="D14" s="313">
        <f>'t12'!D14</f>
        <v>0</v>
      </c>
      <c r="E14" s="314" t="str">
        <f t="shared" si="2"/>
        <v xml:space="preserve"> </v>
      </c>
      <c r="F14" s="333">
        <v>25983.16</v>
      </c>
      <c r="G14" s="314" t="str">
        <f t="shared" si="0"/>
        <v xml:space="preserve"> </v>
      </c>
      <c r="H14" s="315" t="str">
        <f t="shared" si="1"/>
        <v xml:space="preserve"> </v>
      </c>
      <c r="I14" s="295" t="str">
        <f t="shared" si="3"/>
        <v xml:space="preserve"> </v>
      </c>
    </row>
    <row r="15" spans="1:13" ht="12.75" x14ac:dyDescent="0.2">
      <c r="A15" s="118" t="str">
        <f>'t1'!A15</f>
        <v>PROFESSIONISTI II LIVELLO</v>
      </c>
      <c r="B15" s="92" t="str">
        <f>'t1'!B15</f>
        <v>0D0PR2</v>
      </c>
      <c r="C15" s="312">
        <f>'t12'!C15</f>
        <v>0</v>
      </c>
      <c r="D15" s="313">
        <f>'t12'!D15</f>
        <v>0</v>
      </c>
      <c r="E15" s="314" t="str">
        <f t="shared" si="2"/>
        <v xml:space="preserve"> </v>
      </c>
      <c r="F15" s="333">
        <v>45861.1</v>
      </c>
      <c r="G15" s="314" t="str">
        <f t="shared" si="0"/>
        <v xml:space="preserve"> </v>
      </c>
      <c r="H15" s="315" t="str">
        <f t="shared" si="1"/>
        <v xml:space="preserve"> </v>
      </c>
      <c r="I15" s="295" t="str">
        <f t="shared" si="3"/>
        <v xml:space="preserve"> </v>
      </c>
    </row>
    <row r="16" spans="1:13" ht="12.75" x14ac:dyDescent="0.2">
      <c r="A16" s="118" t="str">
        <f>'t1'!A16</f>
        <v>PROFESSIONISTI I LIVELLO</v>
      </c>
      <c r="B16" s="92" t="str">
        <f>'t1'!B16</f>
        <v>0D0PR1</v>
      </c>
      <c r="C16" s="312">
        <f>'t12'!C16</f>
        <v>0</v>
      </c>
      <c r="D16" s="313">
        <f>'t12'!D16</f>
        <v>0</v>
      </c>
      <c r="E16" s="314" t="str">
        <f t="shared" si="2"/>
        <v xml:space="preserve"> </v>
      </c>
      <c r="F16" s="333">
        <v>39285.94</v>
      </c>
      <c r="G16" s="314" t="str">
        <f t="shared" si="0"/>
        <v xml:space="preserve"> </v>
      </c>
      <c r="H16" s="315" t="str">
        <f t="shared" si="1"/>
        <v xml:space="preserve"> </v>
      </c>
      <c r="I16" s="295" t="str">
        <f t="shared" si="3"/>
        <v xml:space="preserve"> </v>
      </c>
    </row>
    <row r="17" spans="1:9" ht="12.75" x14ac:dyDescent="0.2">
      <c r="A17" s="118" t="str">
        <f>'t1'!A17</f>
        <v>ELEVATE PROFESSIONALITA'</v>
      </c>
      <c r="B17" s="92" t="str">
        <f>'t1'!B17</f>
        <v>0EP981</v>
      </c>
      <c r="C17" s="312">
        <f>'t12'!C17</f>
        <v>0</v>
      </c>
      <c r="D17" s="313">
        <f>'t12'!D17</f>
        <v>0</v>
      </c>
      <c r="E17" s="314" t="str">
        <f>IF(C17=0," ",D17/C17*12)</f>
        <v xml:space="preserve"> </v>
      </c>
      <c r="F17" s="333">
        <v>32307.69</v>
      </c>
      <c r="G17" s="314" t="str">
        <f>IF(E17=" "," ",E17-F17)</f>
        <v xml:space="preserve"> </v>
      </c>
      <c r="H17" s="315" t="str">
        <f>IF(E17=" "," ",IF(F17=0," ",G17/F17))</f>
        <v xml:space="preserve"> </v>
      </c>
      <c r="I17" s="295" t="str">
        <f>IF(E17=" "," ",IF(F17=0," ",IF(ABS(H17)&gt;0.02,"ERRORE","OK")))</f>
        <v xml:space="preserve"> </v>
      </c>
    </row>
    <row r="18" spans="1:9" ht="12.75" x14ac:dyDescent="0.2">
      <c r="A18" s="118" t="str">
        <f>'t1'!A18</f>
        <v>FUNZIONARI</v>
      </c>
      <c r="B18" s="92" t="str">
        <f>'t1'!B18</f>
        <v>0FZ000</v>
      </c>
      <c r="C18" s="312">
        <f>'t12'!C18</f>
        <v>0</v>
      </c>
      <c r="D18" s="313">
        <f>'t12'!D18</f>
        <v>0</v>
      </c>
      <c r="E18" s="314" t="str">
        <f>IF(C18=0," ",D18/C18*12)</f>
        <v xml:space="preserve"> </v>
      </c>
      <c r="F18" s="333">
        <v>23501.93</v>
      </c>
      <c r="G18" s="314" t="str">
        <f>IF(E18=" "," ",E18-F18)</f>
        <v xml:space="preserve"> </v>
      </c>
      <c r="H18" s="315" t="str">
        <f>IF(E18=" "," ",IF(F18=0," ",G18/F18))</f>
        <v xml:space="preserve"> </v>
      </c>
      <c r="I18" s="295" t="str">
        <f>IF(E18=" "," ",IF(F18=0," ",IF(ABS(H18)&gt;0.02,"ERRORE","OK")))</f>
        <v xml:space="preserve"> </v>
      </c>
    </row>
    <row r="19" spans="1:9" ht="12.75" x14ac:dyDescent="0.2">
      <c r="A19" s="118" t="str">
        <f>'t1'!A19</f>
        <v>ASSISTENTI</v>
      </c>
      <c r="B19" s="92" t="str">
        <f>'t1'!B19</f>
        <v>0AS000</v>
      </c>
      <c r="C19" s="312">
        <f>'t12'!C19</f>
        <v>6.66</v>
      </c>
      <c r="D19" s="313">
        <f>'t12'!D19</f>
        <v>10750</v>
      </c>
      <c r="E19" s="314">
        <f>IF(C19=0," ",D19/C19*12)</f>
        <v>19369.37</v>
      </c>
      <c r="F19" s="333">
        <v>19351.97</v>
      </c>
      <c r="G19" s="314">
        <f>IF(E19=" "," ",E19-F19)</f>
        <v>17.399999999999999</v>
      </c>
      <c r="H19" s="315">
        <f>IF(E19=" "," ",IF(F19=0," ",G19/F19))</f>
        <v>8.9999999999999998E-4</v>
      </c>
      <c r="I19" s="295" t="str">
        <f>IF(E19=" "," ",IF(F19=0," ",IF(ABS(H19)&gt;0.02,"ERRORE","OK")))</f>
        <v>OK</v>
      </c>
    </row>
    <row r="20" spans="1:9" ht="12.75" x14ac:dyDescent="0.2">
      <c r="A20" s="118" t="str">
        <f>'t1'!A20</f>
        <v>OPERATORI</v>
      </c>
      <c r="B20" s="92" t="str">
        <f>'t1'!B20</f>
        <v>0OP000</v>
      </c>
      <c r="C20" s="312">
        <f>'t12'!C20</f>
        <v>0</v>
      </c>
      <c r="D20" s="313">
        <f>'t12'!D20</f>
        <v>0</v>
      </c>
      <c r="E20" s="314" t="str">
        <f>IF(C20=0," ",D20/C20*12)</f>
        <v xml:space="preserve"> </v>
      </c>
      <c r="F20" s="333">
        <v>18390.84</v>
      </c>
      <c r="G20" s="314" t="str">
        <f>IF(E20=" "," ",E20-F20)</f>
        <v xml:space="preserve"> </v>
      </c>
      <c r="H20" s="315" t="str">
        <f>IF(E20=" "," ",IF(F20=0," ",G20/F20))</f>
        <v xml:space="preserve"> </v>
      </c>
      <c r="I20" s="295" t="str">
        <f>IF(E20=" "," ",IF(F20=0," ",IF(ABS(H20)&gt;0.02,"ERRORE","OK")))</f>
        <v xml:space="preserve"> </v>
      </c>
    </row>
    <row r="21" spans="1:9" ht="12.75" x14ac:dyDescent="0.2">
      <c r="A21" s="118" t="str">
        <f>'t1'!A21</f>
        <v>CONTRATTISTI</v>
      </c>
      <c r="B21" s="92" t="str">
        <f>'t1'!B21</f>
        <v>000061</v>
      </c>
      <c r="C21" s="312">
        <f>'t12'!C21</f>
        <v>0</v>
      </c>
      <c r="D21" s="313">
        <f>'t12'!D21</f>
        <v>0</v>
      </c>
      <c r="E21" s="314" t="str">
        <f>IF(C21=0," ",D21/C21*12)</f>
        <v xml:space="preserve"> </v>
      </c>
      <c r="F21" s="333" t="s">
        <v>1177</v>
      </c>
      <c r="G21" s="314" t="str">
        <f>IF(E21=" "," ",E21-F21)</f>
        <v xml:space="preserve"> </v>
      </c>
      <c r="H21" s="315" t="str">
        <f>IF(E21=" "," ",IF(F21=0," ",G21/F21))</f>
        <v xml:space="preserve"> </v>
      </c>
      <c r="I21" s="295" t="str">
        <f>IF(E21=" "," ",IF(F21=0," ",IF(ABS(H21)&gt;0.02,"ERRORE","OK")))</f>
        <v xml:space="preserve"> </v>
      </c>
    </row>
  </sheetData>
  <sheetProtection algorithmName="SHA-512" hashValue="aZ1OaOLFtTjNRU4x55phjafuwLZ7sHN60OVxdqfD8XLur8cvVUl3/1jtqnXF7UUc2YNyfD+ASxzNVTXTJoVzIw==" saltValue="tcekMIsplQGNJyJQ0HPerw==" spinCount="100000" sheet="1" formatColumns="0" selectLockedCells="1" selectUnlockedCells="1"/>
  <mergeCells count="2">
    <mergeCell ref="A1:H1"/>
    <mergeCell ref="D2:I2"/>
  </mergeCells>
  <phoneticPr fontId="30" type="noConversion"/>
  <printOptions horizontalCentered="1" verticalCentered="1"/>
  <pageMargins left="0.19685039370078741" right="0.19685039370078741" top="0.19685039370078741" bottom="0.15748031496062992" header="0.15748031496062992" footer="0.15748031496062992"/>
  <pageSetup paperSize="9" scale="9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fitToPage="1"/>
  </sheetPr>
  <dimension ref="A1:Q44"/>
  <sheetViews>
    <sheetView showGridLines="0" zoomScale="80" zoomScaleNormal="80" workbookViewId="0">
      <pane ySplit="5" topLeftCell="A33" activePane="bottomLeft" state="frozen"/>
      <selection pane="bottomLeft" activeCell="AN1" sqref="AN1"/>
    </sheetView>
  </sheetViews>
  <sheetFormatPr defaultColWidth="8.6640625" defaultRowHeight="11.25" x14ac:dyDescent="0.2"/>
  <cols>
    <col min="1" max="1" width="3" style="3" customWidth="1"/>
    <col min="2" max="2" width="8.5" style="3" customWidth="1"/>
    <col min="3" max="3" width="75.6640625" style="3" customWidth="1"/>
    <col min="4" max="6" width="45.6640625" style="2" customWidth="1"/>
    <col min="7" max="7" width="45.6640625" style="3" customWidth="1"/>
    <col min="8" max="13" width="8.6640625" style="3"/>
    <col min="14" max="17" width="8.6640625" style="3" hidden="1" customWidth="1"/>
    <col min="18" max="16384" width="8.6640625" style="3"/>
  </cols>
  <sheetData>
    <row r="1" spans="1:17" ht="43.5" customHeight="1" x14ac:dyDescent="0.2">
      <c r="A1" s="1163" t="str">
        <f>'t1'!A1</f>
        <v>ENTI PUBBLICI NON ECONOMICI - anno 2024</v>
      </c>
      <c r="B1" s="1163"/>
      <c r="C1" s="1163"/>
      <c r="D1" s="1163"/>
      <c r="E1" s="1163"/>
      <c r="F1" s="1163"/>
    </row>
    <row r="2" spans="1:17" ht="21" customHeight="1" x14ac:dyDescent="0.25">
      <c r="A2" s="173" t="s">
        <v>915</v>
      </c>
      <c r="B2" s="173"/>
      <c r="C2" s="173"/>
    </row>
    <row r="3" spans="1:17" ht="21" customHeight="1" thickBot="1" x14ac:dyDescent="0.3">
      <c r="A3" s="1178"/>
      <c r="B3" s="173"/>
      <c r="C3" s="173"/>
    </row>
    <row r="4" spans="1:17" ht="49.5" customHeight="1" thickBot="1" x14ac:dyDescent="0.25">
      <c r="A4" s="864" t="s">
        <v>638</v>
      </c>
      <c r="B4" s="865"/>
      <c r="C4" s="865"/>
      <c r="D4" s="866" t="s">
        <v>939</v>
      </c>
      <c r="E4" s="866" t="s">
        <v>940</v>
      </c>
      <c r="F4" s="866" t="s">
        <v>864</v>
      </c>
      <c r="G4" s="866" t="s">
        <v>941</v>
      </c>
    </row>
    <row r="5" spans="1:17" ht="70.150000000000006" customHeight="1" thickBot="1" x14ac:dyDescent="0.25">
      <c r="A5" s="867" t="s">
        <v>916</v>
      </c>
      <c r="B5" s="865"/>
      <c r="C5" s="865"/>
      <c r="D5" s="1179" t="str">
        <f ca="1">IF(D6&lt;=10000,"OK",IF(AND(D14&lt;50,D37&lt;50),"OK","Giustificare: la retribuzione di posizione esposta in T15 e/o nella sezione ORG della SICI non appare coerente con quanto riportato in T13"))</f>
        <v>OK</v>
      </c>
      <c r="E5" s="1179" t="str">
        <f ca="1">IF(E6&lt;=10000,"OK",IF(AND(E14&lt;50,E37&lt;50),"OK","Giustificare: la retribuzione di posizione esposta in T15 e/o nella sezione ORG della SICI non appare coerente con quanto riportato in T13"))</f>
        <v>OK</v>
      </c>
      <c r="F5" s="1179" t="str">
        <f ca="1">IF(F6&lt;=10000,"OK",IF(AND(F14&lt;50,F37&lt;50),"OK","Giustificare: la retribuzione di posizione esposta in T15 e/o nella sezione ORG della SICI non appare coerente con quanto riportato in T13"))</f>
        <v>OK</v>
      </c>
      <c r="G5" s="1179" t="str">
        <f ca="1">IF(G6&lt;=10000,"OK",IF(AND(G14&lt;50,G37&lt;50),"OK","Giustificare: la retribuzione di posizione esposta in T15 e/o nella sezione ORG della SICI non appare coerente con quanto riportato in T13"))</f>
        <v>OK</v>
      </c>
    </row>
    <row r="6" spans="1:17" s="93" customFormat="1" ht="20.100000000000001" customHeight="1" x14ac:dyDescent="0.15">
      <c r="A6" s="1165" t="s">
        <v>868</v>
      </c>
      <c r="B6" s="1180" t="s">
        <v>917</v>
      </c>
      <c r="C6" s="1180"/>
      <c r="D6" s="1181" t="str">
        <f ca="1">IF(SUM(D7:D9)&lt;=10000,"&lt;= 10.000",SUM(D7:D9))</f>
        <v>&lt;= 10.000</v>
      </c>
      <c r="E6" s="1181" t="str">
        <f ca="1">IF(SUM(E7:E9)&lt;=10000,"&lt;= 10.000",SUM(E7:E9))</f>
        <v>&lt;= 10.000</v>
      </c>
      <c r="F6" s="1181" t="str">
        <f ca="1">IF(SUM(F7:F9)&lt;=10000,"&lt;= 10.000",SUM(F7:F9))</f>
        <v>&lt;= 10.000</v>
      </c>
      <c r="G6" s="1181" t="str">
        <f ca="1">IF(SUM(G7:G9)&lt;=10000,"&lt;= 10.000",SUM(G7:G9))</f>
        <v>&lt;= 10.000</v>
      </c>
    </row>
    <row r="7" spans="1:17" s="93" customFormat="1" ht="20.100000000000001" customHeight="1" x14ac:dyDescent="0.2">
      <c r="A7" s="1165"/>
      <c r="B7" s="1182" t="s">
        <v>918</v>
      </c>
      <c r="C7" s="1183"/>
      <c r="D7" s="1181">
        <f ca="1">SUMIF('t13'!$CC:$CC,D40,INDIRECT("'t13'!$"&amp;$O7&amp;":$"&amp;$O7))</f>
        <v>0</v>
      </c>
      <c r="E7" s="1181">
        <f ca="1">SUMIF('t13'!$CC:$CC,E40,INDIRECT("'t13'!$"&amp;$O7&amp;":$"&amp;$O7))</f>
        <v>0</v>
      </c>
      <c r="F7" s="1181">
        <f ca="1">SUMIF('t13'!$CC:$CC,F40,INDIRECT("'t13'!$"&amp;$O7&amp;":$"&amp;$O7))</f>
        <v>0</v>
      </c>
      <c r="G7" s="1181">
        <f ca="1">SUMIF('t13'!$CC:$CC,G40,INDIRECT("'t13'!$"&amp;$O7&amp;":$"&amp;$O7))</f>
        <v>0</v>
      </c>
      <c r="N7" s="880" t="s">
        <v>444</v>
      </c>
      <c r="O7" s="93" t="str" cm="1">
        <f t="array" aca="1" ref="O7" ca="1">LEFT(RIGHT(CELL("indirizzo",INDEX('t13'!$C$5:$Z$5,MATCH(N7,'t13'!$C$5:$Z$5,0))),3),1)</f>
        <v>D</v>
      </c>
    </row>
    <row r="8" spans="1:17" s="93" customFormat="1" ht="20.100000000000001" customHeight="1" x14ac:dyDescent="0.2">
      <c r="A8" s="1165"/>
      <c r="B8" s="1184" t="s">
        <v>919</v>
      </c>
      <c r="C8" s="1180"/>
      <c r="D8" s="1181">
        <f ca="1">SUMIF('t13'!$CC:$CC,D40,INDIRECT("'t13'!$"&amp;$O8&amp;":$"&amp;$O8))</f>
        <v>0</v>
      </c>
      <c r="E8" s="1181">
        <f ca="1">SUMIF('t13'!$CC:$CC,E40,INDIRECT("'t13'!$"&amp;$O8&amp;":$"&amp;$O8))</f>
        <v>0</v>
      </c>
      <c r="F8" s="1181">
        <f ca="1">SUMIF('t13'!$CC:$CC,F40,INDIRECT("'t13'!$"&amp;$O8&amp;":$"&amp;$O8))</f>
        <v>0</v>
      </c>
      <c r="G8" s="1181">
        <f ca="1">SUMIF('t13'!$CC:$CC,G40,INDIRECT("'t13'!$"&amp;$O8&amp;":$"&amp;$O8))</f>
        <v>0</v>
      </c>
      <c r="N8" s="880" t="s">
        <v>445</v>
      </c>
      <c r="O8" s="93" t="str" cm="1">
        <f t="array" aca="1" ref="O8" ca="1">LEFT(RIGHT(CELL("indirizzo",INDEX('t13'!$C$5:$Z$5,MATCH(N8,'t13'!$C$5:$Z$5,0))),3),1)</f>
        <v>E</v>
      </c>
    </row>
    <row r="9" spans="1:17" s="93" customFormat="1" ht="20.100000000000001" customHeight="1" x14ac:dyDescent="0.2">
      <c r="A9" s="1165"/>
      <c r="B9" s="1184" t="s">
        <v>942</v>
      </c>
      <c r="C9" s="1180"/>
      <c r="D9" s="1181">
        <f ca="1">SUMIF('t13'!$CC:$CC,D40,INDIRECT("'t13'!$"&amp;$O9&amp;":$"&amp;$O9))</f>
        <v>0</v>
      </c>
      <c r="E9" s="1181">
        <f ca="1">SUMIF('t13'!$CC:$CC,E40,INDIRECT("'t13'!$"&amp;$O9&amp;":$"&amp;$O9))</f>
        <v>0</v>
      </c>
      <c r="F9" s="1181">
        <f ca="1">SUMIF('t13'!$CC:$CC,F40,INDIRECT("'t13'!$"&amp;$O9&amp;":$"&amp;$O9))</f>
        <v>0</v>
      </c>
      <c r="G9" s="1181">
        <f ca="1">SUMIF('t13'!$CC:$CC,G40,INDIRECT("'t13'!$"&amp;$O9&amp;":$"&amp;$O9))</f>
        <v>0</v>
      </c>
      <c r="N9" s="880" t="s">
        <v>449</v>
      </c>
      <c r="O9" s="93" t="str" cm="1">
        <f t="array" aca="1" ref="O9" ca="1">LEFT(RIGHT(CELL("indirizzo",INDEX('t13'!$C$5:$Z$5,MATCH(N9,'t13'!$C$5:$Z$5,0))),3),1)</f>
        <v>L</v>
      </c>
    </row>
    <row r="10" spans="1:17" s="93" customFormat="1" ht="20.100000000000001" customHeight="1" x14ac:dyDescent="0.2">
      <c r="A10" s="1165" t="s">
        <v>870</v>
      </c>
      <c r="B10" s="1180" t="s">
        <v>920</v>
      </c>
      <c r="C10" s="1183"/>
      <c r="D10" s="1181">
        <f ca="1">IF(SUM(D6)=0,0,D6/12*13)</f>
        <v>0</v>
      </c>
      <c r="E10" s="1181">
        <f ca="1">IF(SUM(E6)=0,0,E6/12*13)</f>
        <v>0</v>
      </c>
      <c r="F10" s="1181">
        <f ca="1">IF(SUM(F6)=0,0,F6/12*13)</f>
        <v>0</v>
      </c>
      <c r="G10" s="1181">
        <f ca="1">IF(SUM(G6)=0,0,G6/12*13)</f>
        <v>0</v>
      </c>
      <c r="O10" s="884"/>
    </row>
    <row r="11" spans="1:17" s="93" customFormat="1" ht="20.100000000000001" customHeight="1" x14ac:dyDescent="0.15">
      <c r="A11" s="1168"/>
      <c r="B11" s="1185" t="s">
        <v>921</v>
      </c>
      <c r="C11" s="1186"/>
      <c r="D11" s="1187" t="s">
        <v>894</v>
      </c>
      <c r="E11" s="1187" t="s">
        <v>894</v>
      </c>
      <c r="F11" s="1187" t="s">
        <v>894</v>
      </c>
      <c r="G11" s="1187" t="s">
        <v>748</v>
      </c>
    </row>
    <row r="12" spans="1:17" s="882" customFormat="1" ht="20.100000000000001" customHeight="1" x14ac:dyDescent="0.15">
      <c r="A12" s="883" t="s">
        <v>872</v>
      </c>
      <c r="B12" s="1184" t="s">
        <v>922</v>
      </c>
      <c r="C12" s="1183"/>
      <c r="D12" s="1181">
        <f ca="1">IF(D6=0,0,SUMIF(INDIRECT(D41&amp;"!$F:$F"),D11,INDIRECT(D41&amp;"!$G:$G")))</f>
        <v>0</v>
      </c>
      <c r="E12" s="1181">
        <f ca="1">IF(E6=0,0,SUMIF(INDIRECT(E41&amp;"!$F:$F"),E11,INDIRECT(E41&amp;"!$G:$G")))</f>
        <v>0</v>
      </c>
      <c r="F12" s="1181">
        <f ca="1">IF(F6=0,0,SUMIF(INDIRECT(F41&amp;"!$F:$F"),F11,INDIRECT(F41&amp;"!$G:$G")))</f>
        <v>0</v>
      </c>
      <c r="G12" s="1181">
        <f ca="1">IF(G6=0,0,SUMIF(INDIRECT(G41&amp;"!$F:$F"),G11,INDIRECT(G41&amp;"!$G:$G")))</f>
        <v>0</v>
      </c>
    </row>
    <row r="13" spans="1:17" ht="20.100000000000001" customHeight="1" x14ac:dyDescent="0.2">
      <c r="A13" s="883" t="s">
        <v>874</v>
      </c>
      <c r="B13" s="1184" t="s">
        <v>923</v>
      </c>
      <c r="C13" s="1182"/>
      <c r="D13" s="1181">
        <f ca="1">IF(D6 =0,0,ABS(D12-D10))</f>
        <v>0</v>
      </c>
      <c r="E13" s="1181">
        <f ca="1">IF(E6 =0,0,ABS(E12-E10))</f>
        <v>0</v>
      </c>
      <c r="F13" s="1181">
        <f ca="1">IF(F6 =0,0,ABS(F12-F10))</f>
        <v>0</v>
      </c>
      <c r="G13" s="1181">
        <f ca="1">IF(G6 =0,0,ABS(G12-G10))</f>
        <v>0</v>
      </c>
    </row>
    <row r="14" spans="1:17" ht="20.100000000000001" customHeight="1" x14ac:dyDescent="0.2">
      <c r="A14" s="883" t="s">
        <v>876</v>
      </c>
      <c r="B14" s="1184" t="s">
        <v>924</v>
      </c>
      <c r="C14" s="1182"/>
      <c r="D14" s="1188">
        <f ca="1">IF(D10=0,0,D13/D10*100)</f>
        <v>0</v>
      </c>
      <c r="E14" s="1188">
        <f ca="1">IF(E10=0,0,E13/E10*100)</f>
        <v>0</v>
      </c>
      <c r="F14" s="1188">
        <f ca="1">IF(F10=0,0,F13/F10*100)</f>
        <v>0</v>
      </c>
      <c r="G14" s="1188">
        <f ca="1">IF(G10=0,0,G13/G10*100)</f>
        <v>0</v>
      </c>
    </row>
    <row r="15" spans="1:17" ht="20.100000000000001" customHeight="1" x14ac:dyDescent="0.2">
      <c r="A15" s="883"/>
      <c r="B15" s="1184" t="s">
        <v>1142</v>
      </c>
      <c r="C15" s="1182"/>
      <c r="D15" s="1192"/>
      <c r="E15" s="1192"/>
      <c r="F15" s="1190"/>
      <c r="G15" s="1181">
        <f>VLOOKUP(Q15,'SICI(5)'!$A:$F,6,FALSE)</f>
        <v>0</v>
      </c>
      <c r="Q15" s="880" t="s">
        <v>1017</v>
      </c>
    </row>
    <row r="16" spans="1:17" ht="20.100000000000001" customHeight="1" x14ac:dyDescent="0.2">
      <c r="A16" s="883"/>
      <c r="B16" s="1184" t="s">
        <v>1143</v>
      </c>
      <c r="C16" s="1182"/>
      <c r="D16" s="1192"/>
      <c r="E16" s="1192"/>
      <c r="F16" s="1192"/>
      <c r="G16" s="1181">
        <f>VLOOKUP(Q16,'SICI(5)'!$A:$F,6,FALSE)</f>
        <v>0</v>
      </c>
      <c r="Q16" s="880" t="s">
        <v>1018</v>
      </c>
    </row>
    <row r="17" spans="1:17" ht="20.100000000000001" customHeight="1" x14ac:dyDescent="0.2">
      <c r="A17" s="883"/>
      <c r="B17" s="1184" t="s">
        <v>925</v>
      </c>
      <c r="C17" s="1182"/>
      <c r="D17" s="1189">
        <f>VLOOKUP(O17,'SICI(1)'!$A:$F,6,FALSE)</f>
        <v>0</v>
      </c>
      <c r="E17" s="1189">
        <f>VLOOKUP(O17,'SICI(2)'!$A:$F,6,FALSE)</f>
        <v>0</v>
      </c>
      <c r="F17" s="1192"/>
      <c r="G17" s="1192"/>
      <c r="O17" s="880" t="s">
        <v>663</v>
      </c>
      <c r="Q17" s="1191"/>
    </row>
    <row r="18" spans="1:17" ht="20.100000000000001" customHeight="1" x14ac:dyDescent="0.2">
      <c r="A18" s="883"/>
      <c r="B18" s="1184" t="s">
        <v>926</v>
      </c>
      <c r="C18" s="1182"/>
      <c r="D18" s="1189">
        <f>VLOOKUP(O18,'SICI(1)'!$A:$F,6,FALSE)</f>
        <v>0</v>
      </c>
      <c r="E18" s="1189">
        <f>VLOOKUP(O18,'SICI(2)'!$A:$F,6,FALSE)</f>
        <v>0</v>
      </c>
      <c r="F18" s="1192"/>
      <c r="G18" s="1192"/>
      <c r="O18" s="880" t="s">
        <v>669</v>
      </c>
      <c r="Q18" s="1191"/>
    </row>
    <row r="19" spans="1:17" ht="20.100000000000001" customHeight="1" x14ac:dyDescent="0.2">
      <c r="A19" s="883"/>
      <c r="B19" s="1184" t="s">
        <v>927</v>
      </c>
      <c r="C19" s="1182"/>
      <c r="D19" s="1189">
        <f>VLOOKUP(O19,'SICI(1)'!$A:$F,6,FALSE)</f>
        <v>0</v>
      </c>
      <c r="E19" s="1189">
        <f>VLOOKUP(O19,'SICI(2)'!$A:$F,6,FALSE)</f>
        <v>0</v>
      </c>
      <c r="F19" s="1192"/>
      <c r="G19" s="1192"/>
      <c r="O19" s="880" t="s">
        <v>665</v>
      </c>
      <c r="Q19" s="1191"/>
    </row>
    <row r="20" spans="1:17" ht="20.100000000000001" customHeight="1" x14ac:dyDescent="0.2">
      <c r="A20" s="883"/>
      <c r="B20" s="1184" t="s">
        <v>928</v>
      </c>
      <c r="C20" s="1182"/>
      <c r="D20" s="1189">
        <f>VLOOKUP(O20,'SICI(1)'!$A:$F,6,FALSE)</f>
        <v>0</v>
      </c>
      <c r="E20" s="1189">
        <f>VLOOKUP(O20,'SICI(2)'!$A:$F,6,FALSE)</f>
        <v>0</v>
      </c>
      <c r="F20" s="1192"/>
      <c r="G20" s="1192"/>
      <c r="O20" s="880" t="s">
        <v>670</v>
      </c>
      <c r="Q20" s="1191"/>
    </row>
    <row r="21" spans="1:17" ht="20.100000000000001" customHeight="1" x14ac:dyDescent="0.2">
      <c r="A21" s="883"/>
      <c r="B21" s="1184" t="s">
        <v>929</v>
      </c>
      <c r="C21" s="1182"/>
      <c r="D21" s="1189">
        <f>VLOOKUP(O21,'SICI(1)'!$A:$F,6,FALSE)</f>
        <v>0</v>
      </c>
      <c r="E21" s="1189">
        <f>VLOOKUP(O21,'SICI(2)'!$A:$F,6,FALSE)</f>
        <v>0</v>
      </c>
      <c r="F21" s="1192"/>
      <c r="G21" s="1192"/>
      <c r="O21" s="880" t="s">
        <v>667</v>
      </c>
      <c r="Q21" s="1191"/>
    </row>
    <row r="22" spans="1:17" ht="20.100000000000001" customHeight="1" x14ac:dyDescent="0.2">
      <c r="A22" s="883"/>
      <c r="B22" s="1184" t="s">
        <v>930</v>
      </c>
      <c r="C22" s="1182"/>
      <c r="D22" s="1189">
        <f>VLOOKUP(O22,'SICI(1)'!$A:$F,6,FALSE)</f>
        <v>0</v>
      </c>
      <c r="E22" s="1189">
        <f>VLOOKUP(O22,'SICI(2)'!$A:$F,6,FALSE)</f>
        <v>0</v>
      </c>
      <c r="F22" s="1193"/>
      <c r="G22" s="1192"/>
      <c r="O22" s="880" t="s">
        <v>671</v>
      </c>
      <c r="Q22" s="1191"/>
    </row>
    <row r="23" spans="1:17" ht="20.100000000000001" customHeight="1" x14ac:dyDescent="0.2">
      <c r="A23" s="883"/>
      <c r="B23" s="1184" t="s">
        <v>963</v>
      </c>
      <c r="C23" s="1182"/>
      <c r="D23" s="1190"/>
      <c r="E23" s="1190"/>
      <c r="F23" s="1181">
        <f>VLOOKUP(O23,'SICI(3)'!$A:$F,6,FALSE)</f>
        <v>0</v>
      </c>
      <c r="G23" s="1192"/>
      <c r="N23" s="1191"/>
      <c r="O23" s="880" t="s">
        <v>955</v>
      </c>
    </row>
    <row r="24" spans="1:17" ht="20.100000000000001" customHeight="1" x14ac:dyDescent="0.2">
      <c r="A24" s="883"/>
      <c r="B24" s="1184" t="s">
        <v>964</v>
      </c>
      <c r="C24" s="1182"/>
      <c r="D24" s="1192"/>
      <c r="E24" s="1192"/>
      <c r="F24" s="1181">
        <f>VLOOKUP(O24,'SICI(3)'!$A:$F,6,FALSE)</f>
        <v>0</v>
      </c>
      <c r="G24" s="1192"/>
      <c r="O24" s="880" t="s">
        <v>685</v>
      </c>
    </row>
    <row r="25" spans="1:17" ht="20.100000000000001" customHeight="1" x14ac:dyDescent="0.2">
      <c r="A25" s="883"/>
      <c r="B25" s="1184" t="s">
        <v>965</v>
      </c>
      <c r="C25" s="1182"/>
      <c r="D25" s="1192"/>
      <c r="E25" s="1192"/>
      <c r="F25" s="1181">
        <f>VLOOKUP(O25,'SICI(3)'!$A:$F,6,FALSE)</f>
        <v>0</v>
      </c>
      <c r="G25" s="1192"/>
      <c r="O25" s="880" t="s">
        <v>956</v>
      </c>
    </row>
    <row r="26" spans="1:17" ht="20.100000000000001" customHeight="1" x14ac:dyDescent="0.2">
      <c r="A26" s="883"/>
      <c r="B26" s="1184" t="s">
        <v>966</v>
      </c>
      <c r="C26" s="1182"/>
      <c r="D26" s="1192"/>
      <c r="E26" s="1192"/>
      <c r="F26" s="1181">
        <f>VLOOKUP(O26,'SICI(3)'!$A:$F,6,FALSE)</f>
        <v>0</v>
      </c>
      <c r="G26" s="1192"/>
      <c r="O26" s="880" t="s">
        <v>686</v>
      </c>
    </row>
    <row r="27" spans="1:17" ht="20.100000000000001" customHeight="1" x14ac:dyDescent="0.2">
      <c r="A27" s="883"/>
      <c r="B27" s="1184" t="s">
        <v>967</v>
      </c>
      <c r="C27" s="1182"/>
      <c r="D27" s="1192"/>
      <c r="E27" s="1192"/>
      <c r="F27" s="1181">
        <f>VLOOKUP(O27,'SICI(3)'!$A:$F,6,FALSE)</f>
        <v>0</v>
      </c>
      <c r="G27" s="1192"/>
      <c r="O27" s="880" t="s">
        <v>957</v>
      </c>
    </row>
    <row r="28" spans="1:17" ht="20.100000000000001" customHeight="1" x14ac:dyDescent="0.2">
      <c r="A28" s="883"/>
      <c r="B28" s="1184" t="s">
        <v>968</v>
      </c>
      <c r="C28" s="1182"/>
      <c r="D28" s="1192"/>
      <c r="E28" s="1192"/>
      <c r="F28" s="1181">
        <f>VLOOKUP(O28,'SICI(3)'!$A:$F,6,FALSE)</f>
        <v>0</v>
      </c>
      <c r="G28" s="1192"/>
      <c r="O28" s="880" t="s">
        <v>958</v>
      </c>
    </row>
    <row r="29" spans="1:17" ht="20.100000000000001" customHeight="1" x14ac:dyDescent="0.2">
      <c r="A29" s="883"/>
      <c r="B29" s="1184" t="s">
        <v>969</v>
      </c>
      <c r="C29" s="1182"/>
      <c r="D29" s="1192"/>
      <c r="E29" s="1192"/>
      <c r="F29" s="1181">
        <f>VLOOKUP(O29,'SICI(3)'!$A:$F,6,FALSE)</f>
        <v>0</v>
      </c>
      <c r="G29" s="1192"/>
      <c r="O29" s="880" t="s">
        <v>959</v>
      </c>
    </row>
    <row r="30" spans="1:17" ht="20.100000000000001" customHeight="1" x14ac:dyDescent="0.2">
      <c r="A30" s="883"/>
      <c r="B30" s="1184" t="s">
        <v>970</v>
      </c>
      <c r="C30" s="1182"/>
      <c r="D30" s="1192"/>
      <c r="E30" s="1192"/>
      <c r="F30" s="1181">
        <f>VLOOKUP(O30,'SICI(3)'!$A:$F,6,FALSE)</f>
        <v>0</v>
      </c>
      <c r="G30" s="1192"/>
      <c r="O30" s="880" t="s">
        <v>687</v>
      </c>
    </row>
    <row r="31" spans="1:17" ht="20.100000000000001" customHeight="1" x14ac:dyDescent="0.2">
      <c r="A31" s="883"/>
      <c r="B31" s="1184" t="s">
        <v>971</v>
      </c>
      <c r="C31" s="1182"/>
      <c r="D31" s="1192"/>
      <c r="E31" s="1192"/>
      <c r="F31" s="1181">
        <f>VLOOKUP(O31,'SICI(3)'!$A:$F,6,FALSE)</f>
        <v>0</v>
      </c>
      <c r="G31" s="1192"/>
      <c r="O31" s="880" t="s">
        <v>960</v>
      </c>
    </row>
    <row r="32" spans="1:17" ht="20.100000000000001" customHeight="1" x14ac:dyDescent="0.2">
      <c r="A32" s="883"/>
      <c r="B32" s="1184" t="s">
        <v>972</v>
      </c>
      <c r="C32" s="1182"/>
      <c r="D32" s="1192"/>
      <c r="E32" s="1192"/>
      <c r="F32" s="1181">
        <f>VLOOKUP(O32,'SICI(3)'!$A:$F,6,FALSE)</f>
        <v>0</v>
      </c>
      <c r="G32" s="1192"/>
      <c r="O32" s="880" t="s">
        <v>688</v>
      </c>
    </row>
    <row r="33" spans="1:15" ht="20.100000000000001" customHeight="1" x14ac:dyDescent="0.2">
      <c r="A33" s="883"/>
      <c r="B33" s="1184" t="s">
        <v>973</v>
      </c>
      <c r="C33" s="1182"/>
      <c r="D33" s="1192"/>
      <c r="E33" s="1192"/>
      <c r="F33" s="1181">
        <f>VLOOKUP(O33,'SICI(3)'!$A:$F,6,FALSE)</f>
        <v>0</v>
      </c>
      <c r="G33" s="1192"/>
      <c r="O33" s="880" t="s">
        <v>961</v>
      </c>
    </row>
    <row r="34" spans="1:15" ht="20.100000000000001" customHeight="1" x14ac:dyDescent="0.2">
      <c r="A34" s="883"/>
      <c r="B34" s="1184" t="s">
        <v>974</v>
      </c>
      <c r="C34" s="1182"/>
      <c r="D34" s="1193"/>
      <c r="E34" s="1193"/>
      <c r="F34" s="1181">
        <f>VLOOKUP(O34,'SICI(3)'!$A:$F,6,FALSE)</f>
        <v>0</v>
      </c>
      <c r="G34" s="1193"/>
      <c r="O34" s="880" t="s">
        <v>962</v>
      </c>
    </row>
    <row r="35" spans="1:15" ht="20.100000000000001" customHeight="1" x14ac:dyDescent="0.2">
      <c r="A35" s="883" t="s">
        <v>931</v>
      </c>
      <c r="B35" s="1184" t="s">
        <v>932</v>
      </c>
      <c r="C35" s="1182"/>
      <c r="D35" s="1181">
        <f>D17*D18+D19*D20+D21*D22</f>
        <v>0</v>
      </c>
      <c r="E35" s="1181">
        <f>E17*E18+E19*E20+E21*E22</f>
        <v>0</v>
      </c>
      <c r="F35" s="1181">
        <f>F23*F24+F25*F26+F27*F28+F29*F30+F31*F32+F33*F34</f>
        <v>0</v>
      </c>
      <c r="G35" s="1181">
        <f>G15*G16</f>
        <v>0</v>
      </c>
    </row>
    <row r="36" spans="1:15" ht="17.100000000000001" customHeight="1" x14ac:dyDescent="0.2">
      <c r="A36" s="883" t="s">
        <v>933</v>
      </c>
      <c r="B36" s="1184" t="s">
        <v>934</v>
      </c>
      <c r="C36" s="1182"/>
      <c r="D36" s="1181">
        <f ca="1">IF(D10=0,0,ABS(D35-D10))</f>
        <v>0</v>
      </c>
      <c r="E36" s="1181">
        <f ca="1">IF(E10=0,0,ABS(E35-E10))</f>
        <v>0</v>
      </c>
      <c r="F36" s="1181">
        <f ca="1">IF(F10=0,0,ABS(F35-F10))</f>
        <v>0</v>
      </c>
      <c r="G36" s="1181">
        <f ca="1">IF(G10=0,0,ABS(G35-G10))</f>
        <v>0</v>
      </c>
    </row>
    <row r="37" spans="1:15" ht="17.100000000000001" customHeight="1" x14ac:dyDescent="0.2">
      <c r="A37" s="883" t="s">
        <v>935</v>
      </c>
      <c r="B37" s="1184" t="s">
        <v>936</v>
      </c>
      <c r="C37" s="1182"/>
      <c r="D37" s="1188">
        <f ca="1">IF(D10=0,0,D36/D10*100)</f>
        <v>0</v>
      </c>
      <c r="E37" s="1188">
        <f ca="1">IF(E10=0,0,E36/E10*100)</f>
        <v>0</v>
      </c>
      <c r="F37" s="1188">
        <f ca="1">IF(F10=0,0,F36/F10*100)</f>
        <v>0</v>
      </c>
      <c r="G37" s="1188">
        <f ca="1">IF(G10=0,0,G36/G10*100)</f>
        <v>0</v>
      </c>
    </row>
    <row r="38" spans="1:15" x14ac:dyDescent="0.2">
      <c r="A38" s="821" t="s">
        <v>937</v>
      </c>
      <c r="G38" s="2"/>
    </row>
    <row r="39" spans="1:15" x14ac:dyDescent="0.2">
      <c r="A39" s="821" t="s">
        <v>938</v>
      </c>
      <c r="G39" s="2"/>
    </row>
    <row r="40" spans="1:15" x14ac:dyDescent="0.2">
      <c r="B40" s="1370"/>
      <c r="C40" s="1370"/>
      <c r="D40" s="1371" t="s">
        <v>473</v>
      </c>
      <c r="E40" s="1371" t="s">
        <v>456</v>
      </c>
      <c r="F40" s="1371" t="s">
        <v>457</v>
      </c>
      <c r="G40" s="1371" t="s">
        <v>267</v>
      </c>
    </row>
    <row r="41" spans="1:15" x14ac:dyDescent="0.2">
      <c r="B41" s="1370"/>
      <c r="C41" s="1370"/>
      <c r="D41" s="1372" t="str">
        <f>"'T15(1)'"</f>
        <v>'T15(1)'</v>
      </c>
      <c r="E41" s="1372" t="str">
        <f>"'T15(2)'"</f>
        <v>'T15(2)'</v>
      </c>
      <c r="F41" s="1372" t="str">
        <f>"'T15(3)'"</f>
        <v>'T15(3)'</v>
      </c>
      <c r="G41" s="1372" t="str">
        <f>"'T15(5)'"</f>
        <v>'T15(5)'</v>
      </c>
    </row>
    <row r="42" spans="1:15" x14ac:dyDescent="0.2">
      <c r="B42" s="1370"/>
      <c r="C42" s="1370"/>
      <c r="D42" s="1371"/>
      <c r="E42" s="1371"/>
      <c r="F42" s="1371"/>
      <c r="G42" s="1370"/>
    </row>
    <row r="43" spans="1:15" x14ac:dyDescent="0.2">
      <c r="B43" s="1370"/>
      <c r="C43" s="1370"/>
      <c r="D43" s="1371"/>
      <c r="E43" s="1371"/>
      <c r="F43" s="1371"/>
      <c r="G43" s="1370"/>
    </row>
    <row r="44" spans="1:15" x14ac:dyDescent="0.2">
      <c r="B44" s="1191"/>
      <c r="C44" s="1191"/>
      <c r="D44" s="1369"/>
      <c r="E44" s="1369"/>
      <c r="F44" s="1369"/>
      <c r="G44" s="1191"/>
    </row>
  </sheetData>
  <sheetProtection algorithmName="SHA-512" hashValue="ilJLqf4UOnMFVOrsdtVw5ut9Gk03Vf5rq/nLwlbau9aFu+1ZU8+QoTOV2I0OBDO+iVo9f2x5AtnaeFlilmSMFA==" saltValue="O4BQb8dFge6WZmeuKKzOoA==" spinCount="100000" sheet="1" formatColumns="0" selectLockedCells="1"/>
  <conditionalFormatting sqref="D37">
    <cfRule type="cellIs" dxfId="33" priority="12" stopIfTrue="1" operator="greaterThan">
      <formula>49.99</formula>
    </cfRule>
    <cfRule type="cellIs" dxfId="32" priority="13" stopIfTrue="1" operator="greaterThan">
      <formula>99.9</formula>
    </cfRule>
    <cfRule type="cellIs" dxfId="31" priority="14" stopIfTrue="1" operator="greaterThan">
      <formula>100</formula>
    </cfRule>
    <cfRule type="cellIs" dxfId="30" priority="15" stopIfTrue="1" operator="greaterThan">
      <formula>100</formula>
    </cfRule>
  </conditionalFormatting>
  <conditionalFormatting sqref="D37:E37">
    <cfRule type="cellIs" dxfId="29" priority="11" stopIfTrue="1" operator="greaterThan">
      <formula>100</formula>
    </cfRule>
  </conditionalFormatting>
  <conditionalFormatting sqref="D14:F14">
    <cfRule type="cellIs" dxfId="28" priority="27" stopIfTrue="1" operator="greaterThan">
      <formula>49.99</formula>
    </cfRule>
    <cfRule type="cellIs" dxfId="27" priority="28" stopIfTrue="1" operator="greaterThan">
      <formula>99.9</formula>
    </cfRule>
    <cfRule type="cellIs" dxfId="26" priority="29" stopIfTrue="1" operator="greaterThan">
      <formula>100</formula>
    </cfRule>
    <cfRule type="cellIs" dxfId="25" priority="30" stopIfTrue="1" operator="greaterThan">
      <formula>100</formula>
    </cfRule>
  </conditionalFormatting>
  <conditionalFormatting sqref="D14:G14">
    <cfRule type="cellIs" dxfId="24" priority="20" stopIfTrue="1" operator="greaterThan">
      <formula>49.9</formula>
    </cfRule>
    <cfRule type="cellIs" dxfId="23" priority="21" stopIfTrue="1" operator="greaterThan">
      <formula>99.99</formula>
    </cfRule>
    <cfRule type="cellIs" dxfId="22" priority="26" stopIfTrue="1" operator="greaterThan">
      <formula>100</formula>
    </cfRule>
  </conditionalFormatting>
  <conditionalFormatting sqref="D37:G37">
    <cfRule type="cellIs" dxfId="21" priority="1" stopIfTrue="1" operator="greaterThan">
      <formula>49.9</formula>
    </cfRule>
    <cfRule type="cellIs" dxfId="20" priority="2" stopIfTrue="1" operator="greaterThan">
      <formula>99.99</formula>
    </cfRule>
  </conditionalFormatting>
  <conditionalFormatting sqref="E37">
    <cfRule type="cellIs" dxfId="19" priority="8" stopIfTrue="1" operator="greaterThan">
      <formula>49.99</formula>
    </cfRule>
    <cfRule type="cellIs" dxfId="18" priority="9" stopIfTrue="1" operator="greaterThan">
      <formula>99.9</formula>
    </cfRule>
    <cfRule type="cellIs" dxfId="17" priority="10" stopIfTrue="1" operator="greaterThan">
      <formula>100</formula>
    </cfRule>
  </conditionalFormatting>
  <conditionalFormatting sqref="E37:G37">
    <cfRule type="cellIs" dxfId="16" priority="7" stopIfTrue="1" operator="greaterThan">
      <formula>100</formula>
    </cfRule>
  </conditionalFormatting>
  <conditionalFormatting sqref="F37">
    <cfRule type="cellIs" dxfId="15" priority="3" stopIfTrue="1" operator="greaterThan">
      <formula>100</formula>
    </cfRule>
    <cfRule type="cellIs" dxfId="14" priority="4" stopIfTrue="1" operator="greaterThan">
      <formula>49.99</formula>
    </cfRule>
    <cfRule type="cellIs" dxfId="13" priority="5" stopIfTrue="1" operator="greaterThan">
      <formula>99.9</formula>
    </cfRule>
    <cfRule type="cellIs" dxfId="12" priority="6" stopIfTrue="1" operator="greaterThan">
      <formula>100</formula>
    </cfRule>
  </conditionalFormatting>
  <conditionalFormatting sqref="G14">
    <cfRule type="cellIs" dxfId="11" priority="22" stopIfTrue="1" operator="greaterThan">
      <formula>100</formula>
    </cfRule>
    <cfRule type="cellIs" dxfId="10" priority="23" stopIfTrue="1" operator="greaterThan">
      <formula>49.99</formula>
    </cfRule>
    <cfRule type="cellIs" dxfId="9" priority="24" stopIfTrue="1" operator="greaterThan">
      <formula>99.9</formula>
    </cfRule>
    <cfRule type="cellIs" dxfId="8" priority="25" stopIfTrue="1" operator="greaterThan">
      <formula>100</formula>
    </cfRule>
  </conditionalFormatting>
  <conditionalFormatting sqref="G37">
    <cfRule type="cellIs" dxfId="7" priority="16" stopIfTrue="1" operator="greaterThan">
      <formula>49.99</formula>
    </cfRule>
    <cfRule type="cellIs" dxfId="6" priority="17" stopIfTrue="1" operator="greaterThan">
      <formula>99.9</formula>
    </cfRule>
    <cfRule type="cellIs" dxfId="5" priority="18" stopIfTrue="1" operator="greaterThan">
      <formula>100</formula>
    </cfRule>
    <cfRule type="cellIs" dxfId="4" priority="19" stopIfTrue="1" operator="greaterThan">
      <formula>100</formula>
    </cfRule>
  </conditionalFormatting>
  <printOptions horizontalCentered="1"/>
  <pageMargins left="0.19685039370078741" right="0.19685039370078741" top="0.19685039370078741" bottom="0.15748031496062992" header="0.15748031496062992" footer="0.15748031496062992"/>
  <pageSetup paperSize="9" scale="67"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Foglio7">
    <pageSetUpPr fitToPage="1"/>
  </sheetPr>
  <dimension ref="A1:N32"/>
  <sheetViews>
    <sheetView showGridLines="0" zoomScale="90" workbookViewId="0">
      <pane ySplit="5" topLeftCell="A21" activePane="bottomLeft" state="frozen"/>
      <selection activeCell="A2" sqref="A2"/>
      <selection pane="bottomLeft" activeCell="B2" sqref="B2:G2"/>
    </sheetView>
  </sheetViews>
  <sheetFormatPr defaultRowHeight="10.5" x14ac:dyDescent="0.15"/>
  <cols>
    <col min="1" max="1" width="71.33203125" style="371" customWidth="1"/>
    <col min="2" max="2" width="8" style="371" customWidth="1"/>
    <col min="3" max="3" width="14.1640625" style="371" customWidth="1"/>
    <col min="4" max="4" width="15.33203125" style="371" customWidth="1"/>
    <col min="5" max="5" width="25" style="371" bestFit="1" customWidth="1"/>
    <col min="6" max="6" width="17.33203125" style="371" customWidth="1"/>
    <col min="7" max="7" width="17.1640625" style="371" customWidth="1"/>
    <col min="8" max="14" width="9.33203125" style="371" customWidth="1"/>
  </cols>
  <sheetData>
    <row r="1" spans="1:14" s="3" customFormat="1" ht="26.25" customHeight="1" x14ac:dyDescent="0.2">
      <c r="A1" s="1447" t="str">
        <f>'t1'!A1:J1</f>
        <v>ENTI PUBBLICI NON ECONOMICI - anno 2024</v>
      </c>
      <c r="B1" s="1447"/>
      <c r="C1" s="1447"/>
      <c r="D1" s="1447"/>
      <c r="E1" s="1447"/>
      <c r="F1" s="288"/>
      <c r="G1" s="285"/>
      <c r="H1" s="288"/>
      <c r="M1" s="370"/>
    </row>
    <row r="2" spans="1:14" s="3" customFormat="1" ht="21" customHeight="1" x14ac:dyDescent="0.2">
      <c r="B2" s="1537"/>
      <c r="C2" s="1537"/>
      <c r="D2" s="1537"/>
      <c r="E2" s="1537"/>
      <c r="F2" s="1537"/>
      <c r="G2" s="1537"/>
      <c r="J2" s="289"/>
      <c r="M2" s="370"/>
    </row>
    <row r="3" spans="1:14" s="3" customFormat="1" ht="21" customHeight="1" thickBot="1" x14ac:dyDescent="0.3">
      <c r="A3" s="291" t="s">
        <v>245</v>
      </c>
      <c r="B3" s="2"/>
    </row>
    <row r="4" spans="1:14" ht="20.25" customHeight="1" thickBot="1" x14ac:dyDescent="0.3">
      <c r="A4" s="299" t="s">
        <v>246</v>
      </c>
      <c r="B4" s="1593">
        <f>'t12'!K22+'t13'!V22</f>
        <v>16995</v>
      </c>
      <c r="C4" s="1594"/>
      <c r="D4" s="1594"/>
      <c r="E4" s="1594"/>
      <c r="F4" s="1594"/>
      <c r="G4" s="1595"/>
    </row>
    <row r="5" spans="1:14" ht="85.5" customHeight="1" thickBot="1" x14ac:dyDescent="0.2">
      <c r="A5" s="196" t="s">
        <v>93</v>
      </c>
      <c r="B5" s="197" t="s">
        <v>231</v>
      </c>
      <c r="C5" s="197" t="s">
        <v>232</v>
      </c>
      <c r="D5" s="198" t="s">
        <v>233</v>
      </c>
      <c r="E5" s="1596" t="s">
        <v>229</v>
      </c>
      <c r="F5" s="1597"/>
      <c r="G5" s="1598"/>
      <c r="H5" s="370"/>
      <c r="I5" s="370"/>
      <c r="J5" s="370"/>
      <c r="K5" s="370"/>
      <c r="L5" s="370"/>
      <c r="M5" s="370"/>
      <c r="N5" s="370"/>
    </row>
    <row r="6" spans="1:14" ht="19.5" customHeight="1" x14ac:dyDescent="0.2">
      <c r="A6" s="195" t="str">
        <f>'t14'!A4</f>
        <v>ASSEGNI PER IL NUCLEO FAMILIARE</v>
      </c>
      <c r="B6" s="296" t="str">
        <f>'t14'!B4</f>
        <v>L005</v>
      </c>
      <c r="C6" s="292">
        <f>'t14'!D4</f>
        <v>0</v>
      </c>
      <c r="D6" s="372" t="str">
        <f t="shared" ref="D6:D12" si="0">IF($B$4=0," ",(IF(C6=0," ",C6/$B$4)))</f>
        <v xml:space="preserve"> </v>
      </c>
      <c r="E6" s="1599" t="str">
        <f>IF($B$4=0,"TABELLE 12 -13 ASSENTI",(IF('t12'!$K$22=0,"TAB. 12 ASSENTE",(IF('t13'!V22=0,"TAB. 13 ASSENTE"," ")))))</f>
        <v xml:space="preserve"> </v>
      </c>
      <c r="F6" s="1600"/>
      <c r="G6" s="1601"/>
      <c r="H6" s="370"/>
      <c r="I6" s="370"/>
      <c r="J6" s="370"/>
      <c r="K6" s="370"/>
      <c r="L6" s="370"/>
      <c r="M6" s="370"/>
      <c r="N6" s="370"/>
    </row>
    <row r="7" spans="1:14" ht="19.5" customHeight="1" x14ac:dyDescent="0.2">
      <c r="A7" s="195" t="str">
        <f>'t14'!A5</f>
        <v xml:space="preserve">GESTIONE MENSE </v>
      </c>
      <c r="B7" s="296" t="str">
        <f>'t14'!B5</f>
        <v>L010</v>
      </c>
      <c r="C7" s="293">
        <f>'t14'!D5</f>
        <v>0</v>
      </c>
      <c r="D7" s="373" t="str">
        <f t="shared" si="0"/>
        <v xml:space="preserve"> </v>
      </c>
      <c r="E7" s="1602"/>
      <c r="F7" s="1603"/>
      <c r="G7" s="1604"/>
      <c r="H7" s="370"/>
      <c r="I7" s="370"/>
      <c r="J7" s="370"/>
      <c r="K7" s="370"/>
      <c r="L7" s="370"/>
      <c r="M7" s="370"/>
      <c r="N7" s="370"/>
    </row>
    <row r="8" spans="1:14" ht="19.5" customHeight="1" x14ac:dyDescent="0.2">
      <c r="A8" s="195" t="str">
        <f>'t14'!A6</f>
        <v>EROGAZIONE BUONI PASTO</v>
      </c>
      <c r="B8" s="296" t="str">
        <f>'t14'!B6</f>
        <v>L011</v>
      </c>
      <c r="C8" s="293">
        <f>'t14'!D6</f>
        <v>0</v>
      </c>
      <c r="D8" s="373" t="str">
        <f t="shared" si="0"/>
        <v xml:space="preserve"> </v>
      </c>
      <c r="E8" s="1602"/>
      <c r="F8" s="1603"/>
      <c r="G8" s="1604"/>
      <c r="H8" s="370"/>
      <c r="I8" s="370"/>
      <c r="J8" s="370"/>
      <c r="K8" s="370"/>
      <c r="L8" s="370"/>
      <c r="M8" s="370"/>
      <c r="N8" s="370"/>
    </row>
    <row r="9" spans="1:14" ht="19.5" customHeight="1" x14ac:dyDescent="0.2">
      <c r="A9" s="195" t="str">
        <f>'t14'!A7</f>
        <v>FORMAZIONE DEL PERSONALE</v>
      </c>
      <c r="B9" s="296" t="str">
        <f>'t14'!B7</f>
        <v>L020</v>
      </c>
      <c r="C9" s="293">
        <f>'t14'!D7</f>
        <v>0</v>
      </c>
      <c r="D9" s="373" t="str">
        <f t="shared" si="0"/>
        <v xml:space="preserve"> </v>
      </c>
      <c r="E9" s="1602"/>
      <c r="F9" s="1603"/>
      <c r="G9" s="1604"/>
      <c r="H9" s="370"/>
      <c r="I9" s="370"/>
      <c r="J9" s="370"/>
      <c r="K9" s="370"/>
      <c r="L9" s="370"/>
      <c r="M9" s="370"/>
      <c r="N9" s="370"/>
    </row>
    <row r="10" spans="1:14" ht="19.5" customHeight="1" x14ac:dyDescent="0.2">
      <c r="A10" s="195" t="str">
        <f>'t14'!A8</f>
        <v>BENESSERE DEL PERSONALE</v>
      </c>
      <c r="B10" s="296" t="str">
        <f>'t14'!B8</f>
        <v>L090</v>
      </c>
      <c r="C10" s="293">
        <f>'t14'!D8</f>
        <v>0</v>
      </c>
      <c r="D10" s="373" t="str">
        <f t="shared" si="0"/>
        <v xml:space="preserve"> </v>
      </c>
      <c r="E10" s="1602"/>
      <c r="F10" s="1603"/>
      <c r="G10" s="1604"/>
      <c r="H10" s="370"/>
      <c r="I10" s="370"/>
      <c r="J10" s="370"/>
      <c r="K10" s="370"/>
      <c r="L10" s="370"/>
      <c r="M10" s="370"/>
      <c r="N10" s="370"/>
    </row>
    <row r="11" spans="1:14" ht="19.5" customHeight="1" thickBot="1" x14ac:dyDescent="0.25">
      <c r="A11" s="195" t="str">
        <f>'t14'!A9</f>
        <v>EQUO INDENNIZZO AL PERSONALE</v>
      </c>
      <c r="B11" s="296" t="str">
        <f>'t14'!B9</f>
        <v>L100</v>
      </c>
      <c r="C11" s="293">
        <f>'t14'!D9</f>
        <v>0</v>
      </c>
      <c r="D11" s="374" t="str">
        <f t="shared" si="0"/>
        <v xml:space="preserve"> </v>
      </c>
      <c r="E11" s="1605"/>
      <c r="F11" s="1606"/>
      <c r="G11" s="1607"/>
      <c r="H11" s="370"/>
      <c r="I11" s="370"/>
      <c r="J11" s="370"/>
      <c r="K11" s="370"/>
      <c r="L11" s="370"/>
      <c r="M11" s="370"/>
      <c r="N11" s="370"/>
    </row>
    <row r="12" spans="1:14" ht="30.75" customHeight="1" thickBot="1" x14ac:dyDescent="0.25">
      <c r="A12" s="195" t="str">
        <f>'t14'!A10</f>
        <v>SOMME CORRISPOSTE AD AGENZIA DI SOMMINISTRAZIONE(INTERINALI)</v>
      </c>
      <c r="B12" s="296" t="str">
        <f>'t14'!B10</f>
        <v>L105</v>
      </c>
      <c r="C12" s="293">
        <f>'t14'!D10</f>
        <v>0</v>
      </c>
      <c r="D12" s="374" t="str">
        <f t="shared" si="0"/>
        <v xml:space="preserve"> </v>
      </c>
      <c r="E12" s="1608" t="str">
        <f>(IF(AND(C12=0,C24&gt;0),"P062 VALORIZZATA; INSERIRE SOMME SPETTANTI ALL'AGENZIA (L105)",IF(AND(C12&gt;0,C24&gt;0,C12&gt;(C24/100*30)),"ATTENZIONE: la voce L105 supera il 30% della voce P062. Il salvataggio produrrà l'INCONGRUENZA 1 che dovrà essere giustificata"," ")))</f>
        <v xml:space="preserve"> </v>
      </c>
      <c r="F12" s="1609"/>
      <c r="G12" s="1610"/>
      <c r="H12" s="370"/>
      <c r="I12" s="370"/>
      <c r="J12" s="370"/>
      <c r="K12" s="370"/>
      <c r="L12" s="370"/>
      <c r="M12" s="370"/>
      <c r="N12" s="370"/>
    </row>
    <row r="13" spans="1:14" ht="19.5" customHeight="1" thickBot="1" x14ac:dyDescent="0.25">
      <c r="A13" s="195" t="str">
        <f>'t14'!A11</f>
        <v>COPERTURE ASSICURATIVE</v>
      </c>
      <c r="B13" s="296" t="str">
        <f>'t14'!B11</f>
        <v>L107</v>
      </c>
      <c r="C13" s="293">
        <f>'t14'!D11</f>
        <v>0</v>
      </c>
      <c r="D13" s="372" t="str">
        <f t="shared" ref="D13:D21" si="1">IF($B$4=0," ",(IF(C13=0," ",C13/$B$4)))</f>
        <v xml:space="preserve"> </v>
      </c>
      <c r="E13" s="1611" t="str">
        <f>IF($B$4=0,"TABELLE 12 -13 ASSENTI",(IF('t12'!$K$22=0,"TAB. 12 ASSENTE",(IF('t13'!$V$22=0,"TAB. 13 ASSENTE"," ")))))</f>
        <v xml:space="preserve"> </v>
      </c>
      <c r="F13" s="1612" t="s">
        <v>279</v>
      </c>
      <c r="G13" s="1613" t="s">
        <v>279</v>
      </c>
      <c r="H13" s="370"/>
      <c r="I13" s="370"/>
      <c r="J13" s="370"/>
      <c r="K13" s="370"/>
      <c r="L13" s="370"/>
      <c r="M13" s="370"/>
      <c r="N13" s="370"/>
    </row>
    <row r="14" spans="1:14" ht="41.25" customHeight="1" thickBot="1" x14ac:dyDescent="0.25">
      <c r="A14" s="195" t="str">
        <f>'t14'!A12</f>
        <v xml:space="preserve">CONTRATTI DI COLLABORAZIONE PROFESSIONALE </v>
      </c>
      <c r="B14" s="296" t="str">
        <f>'t14'!B12</f>
        <v>L111</v>
      </c>
      <c r="C14" s="293">
        <f>'t14'!D12</f>
        <v>2435</v>
      </c>
      <c r="D14" s="373">
        <f t="shared" si="1"/>
        <v>0.14330000000000001</v>
      </c>
      <c r="E14" s="1608" t="str">
        <f>IF(SI_1!G56=0,IF('t14'!D12=0," ","MANCA IL NUMERO DEI CONTRATTI NELLA SI_1"),IF('t14'!D12=0,"VERIFICARE SE INSERIRE LE SPESE"," "))</f>
        <v xml:space="preserve"> </v>
      </c>
      <c r="F14" s="1612"/>
      <c r="G14" s="316" t="str">
        <f>IF(AND(C14&gt;0,SI_1!G56&gt;0),"VALORE MEDIO UNITARIO DI SPESA =  "&amp;C14/SI_1!G56," ")</f>
        <v>VALORE MEDIO UNITARIO DI SPESA =  2435</v>
      </c>
      <c r="H14" s="370"/>
      <c r="I14" s="370"/>
      <c r="J14" s="370"/>
      <c r="K14" s="370"/>
      <c r="L14" s="370"/>
      <c r="M14" s="370"/>
      <c r="N14" s="370"/>
    </row>
    <row r="15" spans="1:14" ht="41.25" customHeight="1" thickBot="1" x14ac:dyDescent="0.25">
      <c r="A15" s="195" t="str">
        <f>'t14'!A13</f>
        <v xml:space="preserve">INCARICHI DI STUDIO/RICERCA/CONSULENZA </v>
      </c>
      <c r="B15" s="296" t="str">
        <f>'t14'!B13</f>
        <v>L112</v>
      </c>
      <c r="C15" s="293">
        <f>'t14'!D13</f>
        <v>0</v>
      </c>
      <c r="D15" s="373" t="str">
        <f t="shared" si="1"/>
        <v xml:space="preserve"> </v>
      </c>
      <c r="E15" s="1608" t="str">
        <f>IF(SI_1!G59=0,IF('t14'!D13=0," ","MANCA IL NUMERO DEI CONTRATTI NELLA SI_1"),IF('t14'!D13=0,"VERIFICARE SE INSERIRE LE SPESE"," "))</f>
        <v xml:space="preserve"> </v>
      </c>
      <c r="F15" s="1612"/>
      <c r="G15" s="316" t="str">
        <f>IF(AND(C15&gt;0,SI_1!G59&gt;0),"VALORE MEDIO UNITARIO DI SPESA =  "&amp;C15/SI_1!G59," ")</f>
        <v xml:space="preserve"> </v>
      </c>
      <c r="H15" s="370"/>
      <c r="I15" s="370"/>
      <c r="J15" s="370"/>
      <c r="K15" s="370"/>
      <c r="L15" s="370"/>
      <c r="M15" s="370"/>
      <c r="N15" s="370"/>
    </row>
    <row r="16" spans="1:14" ht="41.25" customHeight="1" thickBot="1" x14ac:dyDescent="0.25">
      <c r="A16" s="195" t="str">
        <f>'t14'!A14</f>
        <v>CONTRATTI PER RESA SERVIZI/ADEMPIMENTI OBBLIGATORI PER LEGGE</v>
      </c>
      <c r="B16" s="296" t="str">
        <f>'t14'!B14</f>
        <v>L115</v>
      </c>
      <c r="C16" s="293">
        <f>'t14'!D14</f>
        <v>0</v>
      </c>
      <c r="D16" s="373" t="str">
        <f>IF($B$4=0," ",(IF(C16=0," ",C16/$B$4)))</f>
        <v xml:space="preserve"> </v>
      </c>
      <c r="E16" s="1608" t="str">
        <f>IF(SI_1!G62=0,IF('t14'!D14=0," ","MANCA IL NUMERO DEI CONTRATTI NELLA SI_1"),IF('t14'!D14=0,"VERIFICARE SE INSERIRE LE SPESE"," "))</f>
        <v xml:space="preserve"> </v>
      </c>
      <c r="F16" s="1612"/>
      <c r="G16" s="316" t="str">
        <f>IF(AND(C16&gt;0,SI_1!G62&gt;0),"VALORE MEDIO UNITARIO DI SPESA =  "&amp;C16/SI_1!G62," ")</f>
        <v xml:space="preserve"> </v>
      </c>
      <c r="H16" s="370"/>
      <c r="I16" s="370"/>
      <c r="J16" s="370"/>
      <c r="K16" s="370"/>
      <c r="L16" s="370"/>
      <c r="M16" s="370"/>
      <c r="N16" s="370"/>
    </row>
    <row r="17" spans="1:14" ht="19.5" customHeight="1" x14ac:dyDescent="0.2">
      <c r="A17" s="195" t="str">
        <f>'t14'!A15</f>
        <v>ALTRE SPESE</v>
      </c>
      <c r="B17" s="296" t="str">
        <f>'t14'!B15</f>
        <v>L110</v>
      </c>
      <c r="C17" s="293">
        <f>'t14'!D15</f>
        <v>110</v>
      </c>
      <c r="D17" s="373">
        <f t="shared" si="1"/>
        <v>6.4999999999999997E-3</v>
      </c>
      <c r="E17" s="1599" t="str">
        <f>IF($B$4=0,"TABELLE 12 -13 ASSENTI",(IF('t12'!K22=0,"TAB. 12 ASSENTE",(IF('t13'!V22=0,"TAB. 13 ASSENTE"," ")))))</f>
        <v xml:space="preserve"> </v>
      </c>
      <c r="F17" s="1614" t="s">
        <v>279</v>
      </c>
      <c r="G17" s="1615" t="s">
        <v>279</v>
      </c>
      <c r="H17" s="370"/>
      <c r="I17" s="370"/>
      <c r="J17" s="370"/>
      <c r="K17" s="370"/>
      <c r="L17" s="370"/>
      <c r="M17" s="370"/>
      <c r="N17" s="370"/>
    </row>
    <row r="18" spans="1:14" ht="19.5" customHeight="1" x14ac:dyDescent="0.2">
      <c r="A18" s="195" t="str">
        <f>'t14'!A16</f>
        <v>RETRIBUZIONI PERSONALE  A TEMPO DETERMINATO</v>
      </c>
      <c r="B18" s="296" t="str">
        <f>'t14'!B16</f>
        <v>P015</v>
      </c>
      <c r="C18" s="293">
        <f>'t14'!D16</f>
        <v>0</v>
      </c>
      <c r="D18" s="373" t="str">
        <f t="shared" si="1"/>
        <v xml:space="preserve"> </v>
      </c>
      <c r="E18" s="1616" t="s">
        <v>279</v>
      </c>
      <c r="F18" s="1617" t="s">
        <v>279</v>
      </c>
      <c r="G18" s="1618" t="s">
        <v>279</v>
      </c>
      <c r="H18" s="370"/>
      <c r="I18" s="370"/>
      <c r="J18" s="370"/>
      <c r="K18" s="370"/>
      <c r="L18" s="370"/>
      <c r="M18" s="370"/>
      <c r="N18" s="370"/>
    </row>
    <row r="19" spans="1:14" ht="19.5" customHeight="1" x14ac:dyDescent="0.2">
      <c r="A19" s="195" t="str">
        <f>'t14'!A17</f>
        <v>RETRIBUZIONI PERSONALE CON CONTRATTO DI FORMAZIONE E LAVORO</v>
      </c>
      <c r="B19" s="296" t="str">
        <f>'t14'!B17</f>
        <v>P016</v>
      </c>
      <c r="C19" s="293">
        <f>'t14'!D17</f>
        <v>0</v>
      </c>
      <c r="D19" s="373" t="str">
        <f t="shared" si="1"/>
        <v xml:space="preserve"> </v>
      </c>
      <c r="E19" s="1616" t="s">
        <v>279</v>
      </c>
      <c r="F19" s="1617" t="s">
        <v>279</v>
      </c>
      <c r="G19" s="1618" t="s">
        <v>279</v>
      </c>
      <c r="H19" s="370"/>
      <c r="I19" s="370"/>
      <c r="J19" s="370"/>
      <c r="K19" s="370"/>
      <c r="L19" s="370"/>
      <c r="M19" s="370"/>
      <c r="N19" s="370"/>
    </row>
    <row r="20" spans="1:14" ht="19.5" customHeight="1" thickBot="1" x14ac:dyDescent="0.25">
      <c r="A20" s="195" t="str">
        <f>'t14'!A18</f>
        <v>INDENNITA' DI MISSIONE E TRASFERIMENTO</v>
      </c>
      <c r="B20" s="296" t="str">
        <f>'t14'!B18</f>
        <v>P030</v>
      </c>
      <c r="C20" s="293">
        <f>'t14'!D18</f>
        <v>0</v>
      </c>
      <c r="D20" s="373" t="str">
        <f t="shared" si="1"/>
        <v xml:space="preserve"> </v>
      </c>
      <c r="E20" s="1619" t="s">
        <v>279</v>
      </c>
      <c r="F20" s="1620" t="s">
        <v>279</v>
      </c>
      <c r="G20" s="1621" t="s">
        <v>279</v>
      </c>
      <c r="H20" s="370"/>
      <c r="I20" s="370"/>
      <c r="J20" s="370"/>
      <c r="K20" s="370"/>
      <c r="L20" s="370"/>
      <c r="M20" s="370"/>
      <c r="N20" s="370"/>
    </row>
    <row r="21" spans="1:14" ht="30.75" customHeight="1" thickBot="1" x14ac:dyDescent="0.25">
      <c r="A21" s="195" t="str">
        <f>'t14'!A20</f>
        <v>CONTRIBUTI A CARICO DELL'AMM.NE SU COMP. FISSE E ACCESSORIE</v>
      </c>
      <c r="B21" s="296" t="str">
        <f>'t14'!B20</f>
        <v>P055</v>
      </c>
      <c r="C21" s="293">
        <f>'t14'!D20</f>
        <v>4412</v>
      </c>
      <c r="D21" s="373">
        <f t="shared" si="1"/>
        <v>0.2596</v>
      </c>
      <c r="E21" s="437">
        <f>IF(AND(C31=0,B4=0)," ",IF(C31=0,"TABELLA 14 ASSENTE",IF(AND(B4=0,C18=0,C19=0,C25=0),"INSERIRE RETRIBUZIONI",IF(C21=0,"INSERIRE CONTRIBUTI",ROUND((C21/(B4+C18+C19+C25)*100),2)))))</f>
        <v>25.96</v>
      </c>
      <c r="F21" s="1609" t="str">
        <f>IF(AND(B4=0,C31=0)," ",IF(C31=0,"VALORE INCONGRUENTE",IF(C21=0," ",IF(OR(E21&lt;22.1,E21&gt;29.9),"VALORE INCONGRUENTE (Inc. 4)","OK"))))</f>
        <v>OK</v>
      </c>
      <c r="G21" s="1610"/>
      <c r="H21" s="370"/>
      <c r="I21" s="370"/>
      <c r="J21" s="370"/>
      <c r="K21" s="370"/>
      <c r="L21" s="370"/>
      <c r="M21" s="370"/>
      <c r="N21" s="370"/>
    </row>
    <row r="22" spans="1:14" ht="30.75" customHeight="1" thickBot="1" x14ac:dyDescent="0.25">
      <c r="A22" s="195" t="str">
        <f>'t14'!A21</f>
        <v>QUOTE ANNUE ACCANTONAMENTO TFR O ALTRA IND. FINE SERVIZIO</v>
      </c>
      <c r="B22" s="296" t="str">
        <f>'t14'!B21</f>
        <v>P058</v>
      </c>
      <c r="C22" s="293">
        <f>'t14'!D21</f>
        <v>1639</v>
      </c>
      <c r="D22" s="373">
        <f>IF($B$4=0," ",(IF(C22=0," ",C22/$B$4)))</f>
        <v>9.64E-2</v>
      </c>
      <c r="E22" s="1602" t="str">
        <f>IF($B$4=0,"TABELLE 12 -13 ASSENTI",(IF('t12'!$K$22=0,"TAB. 12 ASSENTE",(IF('t13'!$V$22=0,"TAB. 13 ASSENTE"," ")))))</f>
        <v xml:space="preserve"> </v>
      </c>
      <c r="F22" s="1603" t="s">
        <v>279</v>
      </c>
      <c r="G22" s="1604" t="s">
        <v>279</v>
      </c>
      <c r="H22" s="370"/>
      <c r="I22" s="370"/>
      <c r="J22" s="370"/>
      <c r="K22" s="370"/>
      <c r="L22" s="370"/>
      <c r="M22" s="370"/>
      <c r="N22" s="370"/>
    </row>
    <row r="23" spans="1:14" ht="24" customHeight="1" thickBot="1" x14ac:dyDescent="0.25">
      <c r="A23" s="195" t="str">
        <f>'t14'!A22</f>
        <v>IRAP</v>
      </c>
      <c r="B23" s="296" t="str">
        <f>'t14'!B22</f>
        <v>P061</v>
      </c>
      <c r="C23" s="293">
        <f>'t14'!D22</f>
        <v>1457</v>
      </c>
      <c r="D23" s="373">
        <f>IF($B$4=0," ",IF(C23=0," ",C23/$B$4))</f>
        <v>8.5699999999999998E-2</v>
      </c>
      <c r="E23" s="437">
        <f>IF(AND(B4=0,C31=0)," ",IF(C31=0,"TABELLA 14 ASSENTE",IF(AND(B4=0,C18=0,C19=0,C25=0),"INSERIRE RETRIBUZIONI",IF(C23=0,"INSERIRE SOMME IRAP",ROUND((C23/(B4+C18+C19+C25)*100),2)))))</f>
        <v>8.57</v>
      </c>
      <c r="F23" s="1609" t="str">
        <f>IF('t14'!G22=1,IF(E23&gt;8.5,"VALORE INCONGRUENTE (Inc.4)","E' stata dichiarata IRAP Commerciale"),IF(AND(B4=0,C31=0)," ",IF(C31=0,"VALORE INCONGRUENTE",IF(C23=0," ",IF(OR(E23&lt;7.65,E23&gt;9.35),"VALORE INCONGRUENTE (Inc.4)","OK")))))</f>
        <v>OK</v>
      </c>
      <c r="G23" s="1610"/>
      <c r="H23" s="370"/>
      <c r="I23" s="370"/>
      <c r="J23" s="370"/>
      <c r="K23" s="370"/>
      <c r="L23" s="370"/>
      <c r="M23" s="370"/>
      <c r="N23" s="370"/>
    </row>
    <row r="24" spans="1:14" ht="19.5" customHeight="1" thickBot="1" x14ac:dyDescent="0.25">
      <c r="A24" s="195" t="str">
        <f>'t14'!A23</f>
        <v>ONERI PER I CONTRATTI DI SOMMINISTRAZIONE(INTERINALI)</v>
      </c>
      <c r="B24" s="296" t="str">
        <f>'t14'!B23</f>
        <v>P062</v>
      </c>
      <c r="C24" s="294">
        <f>'t14'!D23</f>
        <v>0</v>
      </c>
      <c r="D24" s="375" t="str">
        <f>IF($B$4=0," ",(IF(AND(C24=0,C12&gt;0),"MANCANO GLI ONERI PER I LAVORATORI",IF(C24=0," ",C24/$B$4))))</f>
        <v xml:space="preserve"> </v>
      </c>
      <c r="E24" s="1611" t="str">
        <f>(IF(AND(C24=0,C12&gt;0),"L105 VALORIZZATA; INSERIRE RETRIBUZIONI PER INTERINALI (P062)"," "))</f>
        <v xml:space="preserve"> </v>
      </c>
      <c r="F24" s="1622"/>
      <c r="G24" s="1623"/>
      <c r="H24" s="370"/>
      <c r="I24" s="370"/>
      <c r="J24" s="370"/>
      <c r="K24" s="370"/>
      <c r="L24" s="370"/>
      <c r="M24" s="370"/>
      <c r="N24" s="370"/>
    </row>
    <row r="25" spans="1:14" ht="19.5" customHeight="1" x14ac:dyDescent="0.2">
      <c r="A25" s="195" t="str">
        <f>'t14'!A24</f>
        <v>COMPENSI PER PERSONALE LSU/LPU</v>
      </c>
      <c r="B25" s="296" t="str">
        <f>'t14'!B24</f>
        <v>P065</v>
      </c>
      <c r="C25" s="293">
        <f>'t14'!D24</f>
        <v>0</v>
      </c>
      <c r="D25" s="377" t="str">
        <f t="shared" ref="D25:D30" si="2">IF($B$4=0," ",(IF(C25=0," ",C25/$B$4)))</f>
        <v xml:space="preserve"> </v>
      </c>
      <c r="E25" s="1599" t="str">
        <f>IF($B$4=0,"TABELLE 12 -13 ASSENTI",(IF('t12'!$K$22=0,"TAB. 12 ASSENTE",(IF('t13'!$V$22=0,"TAB. 13 ASSENTE"," ")))))</f>
        <v xml:space="preserve"> </v>
      </c>
      <c r="F25" s="1600"/>
      <c r="G25" s="1601"/>
      <c r="H25" s="370"/>
      <c r="I25" s="370"/>
      <c r="J25" s="370"/>
      <c r="K25" s="370"/>
      <c r="L25" s="370"/>
      <c r="M25" s="370"/>
      <c r="N25" s="370"/>
    </row>
    <row r="26" spans="1:14" ht="19.5" customHeight="1" x14ac:dyDescent="0.2">
      <c r="A26" s="195" t="str">
        <f>'t14'!A25</f>
        <v>SOMME RIMBORSATE PER PERSONALE COMAND./FUORI RUOLO/IN CONV.</v>
      </c>
      <c r="B26" s="296" t="str">
        <f>'t14'!B25</f>
        <v>P071</v>
      </c>
      <c r="C26" s="293">
        <f>'t14'!D25</f>
        <v>0</v>
      </c>
      <c r="D26" s="376" t="str">
        <f t="shared" si="2"/>
        <v xml:space="preserve"> </v>
      </c>
      <c r="E26" s="1602"/>
      <c r="F26" s="1603"/>
      <c r="G26" s="1604"/>
      <c r="H26" s="370"/>
      <c r="I26" s="370"/>
      <c r="J26" s="370"/>
      <c r="K26" s="370"/>
      <c r="L26" s="370"/>
      <c r="M26" s="370"/>
      <c r="N26" s="370"/>
    </row>
    <row r="27" spans="1:14" ht="19.5" customHeight="1" x14ac:dyDescent="0.2">
      <c r="A27" s="195" t="str">
        <f>'t14'!A26</f>
        <v>ALTRE SOMME RIMBORSATE ALLE AMMINISTRAZIONI</v>
      </c>
      <c r="B27" s="296" t="str">
        <f>'t14'!B26</f>
        <v>P074</v>
      </c>
      <c r="C27" s="293">
        <f>'t14'!D26</f>
        <v>0</v>
      </c>
      <c r="D27" s="376" t="str">
        <f t="shared" si="2"/>
        <v xml:space="preserve"> </v>
      </c>
      <c r="E27" s="1602"/>
      <c r="F27" s="1603"/>
      <c r="G27" s="1604"/>
      <c r="H27" s="370"/>
      <c r="I27" s="370"/>
      <c r="J27" s="370"/>
      <c r="K27" s="370"/>
      <c r="L27" s="370"/>
      <c r="M27" s="370"/>
      <c r="N27" s="370"/>
    </row>
    <row r="28" spans="1:14" ht="19.5" customHeight="1" x14ac:dyDescent="0.2">
      <c r="A28" s="195" t="str">
        <f>'t14'!A27</f>
        <v>SOMME RICEVUTE DA U.E. E/O PRIVATI (-)</v>
      </c>
      <c r="B28" s="296" t="str">
        <f>'t14'!B27</f>
        <v>P098</v>
      </c>
      <c r="C28" s="293">
        <f>'t14'!D27</f>
        <v>0</v>
      </c>
      <c r="D28" s="376" t="str">
        <f t="shared" si="2"/>
        <v xml:space="preserve"> </v>
      </c>
      <c r="E28" s="1602"/>
      <c r="F28" s="1603"/>
      <c r="G28" s="1604"/>
      <c r="H28" s="370"/>
      <c r="I28" s="370"/>
      <c r="J28" s="370"/>
      <c r="K28" s="370"/>
      <c r="L28" s="370"/>
      <c r="M28" s="370"/>
      <c r="N28" s="370"/>
    </row>
    <row r="29" spans="1:14" ht="19.5" customHeight="1" x14ac:dyDescent="0.2">
      <c r="A29" s="195" t="str">
        <f>'t14'!A28</f>
        <v>RIMBORSI RICEVUTI PER PERS. COMAND./FUORI RUOLO/IN CONV. (-)</v>
      </c>
      <c r="B29" s="296" t="str">
        <f>'t14'!B28</f>
        <v>P090</v>
      </c>
      <c r="C29" s="293">
        <f>'t14'!D28</f>
        <v>0</v>
      </c>
      <c r="D29" s="376" t="str">
        <f t="shared" si="2"/>
        <v xml:space="preserve"> </v>
      </c>
      <c r="E29" s="1602"/>
      <c r="F29" s="1603"/>
      <c r="G29" s="1604"/>
      <c r="H29" s="370"/>
      <c r="I29" s="370"/>
      <c r="J29" s="370"/>
      <c r="K29" s="370"/>
      <c r="L29" s="370"/>
      <c r="M29" s="370"/>
      <c r="N29" s="370"/>
    </row>
    <row r="30" spans="1:14" ht="19.5" customHeight="1" thickBot="1" x14ac:dyDescent="0.25">
      <c r="A30" s="195" t="str">
        <f>'t14'!A29</f>
        <v>ALTRI RIMBORSI RICEVUTI DALLE AMMINISTRAZIONI (-)</v>
      </c>
      <c r="B30" s="296" t="str">
        <f>'t14'!B29</f>
        <v>P099</v>
      </c>
      <c r="C30" s="293">
        <f>'t14'!D29</f>
        <v>0</v>
      </c>
      <c r="D30" s="376" t="str">
        <f t="shared" si="2"/>
        <v xml:space="preserve"> </v>
      </c>
      <c r="E30" s="1605"/>
      <c r="F30" s="1606"/>
      <c r="G30" s="1607"/>
      <c r="H30" s="370"/>
      <c r="I30" s="370"/>
      <c r="J30" s="370"/>
      <c r="K30" s="370"/>
      <c r="L30" s="370"/>
      <c r="M30" s="370"/>
      <c r="N30" s="370"/>
    </row>
    <row r="31" spans="1:14" ht="19.5" customHeight="1" x14ac:dyDescent="0.15">
      <c r="A31" s="367" t="s">
        <v>60</v>
      </c>
      <c r="B31" s="367"/>
      <c r="C31" s="368">
        <f>SUM(C6:C30)</f>
        <v>10053</v>
      </c>
      <c r="D31" s="367"/>
      <c r="E31" s="367"/>
      <c r="F31" s="367"/>
      <c r="G31" s="367"/>
      <c r="H31" s="370"/>
      <c r="I31" s="370"/>
      <c r="J31" s="370"/>
      <c r="K31" s="370"/>
      <c r="L31" s="370"/>
      <c r="M31" s="370"/>
      <c r="N31" s="370"/>
    </row>
    <row r="32" spans="1:14" s="369" customFormat="1" ht="18" customHeight="1" x14ac:dyDescent="0.15">
      <c r="A32" s="371"/>
      <c r="B32" s="371"/>
      <c r="C32" s="371"/>
      <c r="D32" s="371"/>
      <c r="E32" s="371"/>
      <c r="F32" s="371"/>
      <c r="G32" s="371"/>
      <c r="I32" s="371"/>
      <c r="J32" s="371"/>
      <c r="K32" s="371"/>
      <c r="L32" s="371"/>
      <c r="M32" s="371"/>
      <c r="N32" s="371"/>
    </row>
  </sheetData>
  <sheetProtection password="DD41" sheet="1" formatColumns="0" selectLockedCells="1" selectUnlockedCells="1"/>
  <mergeCells count="16">
    <mergeCell ref="A1:E1"/>
    <mergeCell ref="B2:G2"/>
    <mergeCell ref="B4:G4"/>
    <mergeCell ref="E5:G5"/>
    <mergeCell ref="E25:G30"/>
    <mergeCell ref="E6:G11"/>
    <mergeCell ref="E12:G12"/>
    <mergeCell ref="F21:G21"/>
    <mergeCell ref="F23:G23"/>
    <mergeCell ref="E13:G13"/>
    <mergeCell ref="E17:G20"/>
    <mergeCell ref="E22:G22"/>
    <mergeCell ref="E14:F14"/>
    <mergeCell ref="E15:F15"/>
    <mergeCell ref="E24:G24"/>
    <mergeCell ref="E16:F16"/>
  </mergeCells>
  <phoneticPr fontId="30" type="noConversion"/>
  <printOptions horizontalCentered="1" verticalCentered="1"/>
  <pageMargins left="0.19685039370078741" right="0.23622047244094491" top="0.19685039370078741" bottom="0.19685039370078741" header="0.15748031496062992" footer="0.15748031496062992"/>
  <pageSetup paperSize="9" scale="72" orientation="landscape" horizontalDpi="300" verticalDpi="300" r:id="rId1"/>
  <headerFooter alignWithMargins="0"/>
  <ignoredErrors>
    <ignoredError sqref="D24" formula="1"/>
  </ignoredError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Foglio30"/>
  <dimension ref="A1:K21"/>
  <sheetViews>
    <sheetView showGridLines="0" workbookViewId="0">
      <pane ySplit="5" topLeftCell="A6" activePane="bottomLeft" state="frozen"/>
      <selection activeCell="A2" sqref="A2"/>
      <selection pane="bottomLeft" activeCell="B5" sqref="B5"/>
    </sheetView>
  </sheetViews>
  <sheetFormatPr defaultRowHeight="11.25" x14ac:dyDescent="0.2"/>
  <cols>
    <col min="1" max="1" width="38.6640625" style="3" customWidth="1"/>
    <col min="2" max="2" width="11.33203125" style="2" customWidth="1"/>
    <col min="3" max="3" width="21.33203125" style="364" customWidth="1"/>
    <col min="4" max="5" width="21.33203125" style="2" customWidth="1"/>
    <col min="6" max="6" width="21.33203125" style="331" customWidth="1"/>
    <col min="7" max="7" width="21.33203125" style="2" customWidth="1"/>
    <col min="8" max="8" width="9.33203125" style="95" customWidth="1"/>
  </cols>
  <sheetData>
    <row r="1" spans="1:11" s="3" customFormat="1" ht="43.5" customHeight="1" x14ac:dyDescent="0.2">
      <c r="A1" s="1447" t="str">
        <f>'t1'!A1</f>
        <v>ENTI PUBBLICI NON ECONOMICI - anno 2024</v>
      </c>
      <c r="B1" s="1447"/>
      <c r="C1" s="1447"/>
      <c r="D1" s="1447"/>
      <c r="E1" s="1447"/>
      <c r="F1" s="1447"/>
      <c r="G1" s="1447"/>
      <c r="K1"/>
    </row>
    <row r="2" spans="1:11" s="3" customFormat="1" ht="21" customHeight="1" x14ac:dyDescent="0.2">
      <c r="C2" s="361"/>
      <c r="D2" s="1537"/>
      <c r="E2" s="1537"/>
      <c r="F2" s="1537"/>
      <c r="G2" s="1537"/>
      <c r="H2" s="289"/>
      <c r="K2"/>
    </row>
    <row r="3" spans="1:11" s="3" customFormat="1" ht="21" customHeight="1" x14ac:dyDescent="0.25">
      <c r="A3" s="173" t="s">
        <v>282</v>
      </c>
      <c r="B3" s="2"/>
      <c r="C3" s="361"/>
      <c r="F3" s="332"/>
      <c r="G3" s="2"/>
    </row>
    <row r="4" spans="1:11" ht="53.25" customHeight="1" x14ac:dyDescent="0.15">
      <c r="A4" s="160" t="s">
        <v>218</v>
      </c>
      <c r="B4" s="161" t="s">
        <v>180</v>
      </c>
      <c r="C4" s="362" t="str">
        <f>"Presenti 31.12."&amp;'t1'!L1&amp;" (Tab T1) uomini+donne della tabella T1"</f>
        <v>Presenti 31.12.2024 (Tab T1) uomini+donne della tabella T1</v>
      </c>
      <c r="D4" s="161" t="s">
        <v>277</v>
      </c>
      <c r="E4" s="161" t="s">
        <v>280</v>
      </c>
      <c r="F4" s="365" t="s">
        <v>281</v>
      </c>
      <c r="G4" s="161" t="s">
        <v>283</v>
      </c>
    </row>
    <row r="5" spans="1:11" s="176" customFormat="1" ht="10.5" x14ac:dyDescent="0.15">
      <c r="A5" s="159"/>
      <c r="B5" s="171"/>
      <c r="C5" s="363" t="s">
        <v>182</v>
      </c>
      <c r="D5" s="171" t="s">
        <v>183</v>
      </c>
      <c r="E5" s="171" t="s">
        <v>184</v>
      </c>
      <c r="F5" s="366" t="s">
        <v>185</v>
      </c>
      <c r="G5" s="171"/>
      <c r="H5" s="95"/>
    </row>
    <row r="6" spans="1:11" ht="12.75" x14ac:dyDescent="0.2">
      <c r="A6" s="118" t="str">
        <f>'t1'!A6</f>
        <v>DIRETTORE GENERALE</v>
      </c>
      <c r="B6" s="92" t="str">
        <f>'t1'!B6</f>
        <v>0D0097</v>
      </c>
      <c r="C6" s="598">
        <f>('t1'!K6+'t1'!L6)</f>
        <v>0</v>
      </c>
      <c r="D6" s="313">
        <f>'t5'!U7+'t5'!V7</f>
        <v>0</v>
      </c>
      <c r="E6" s="313">
        <f>'t4'!S15</f>
        <v>0</v>
      </c>
      <c r="F6" s="314">
        <f>'t12'!C6</f>
        <v>0</v>
      </c>
      <c r="G6" s="333" t="str">
        <f>IF(OR(AND(NOT(C6),NOT(D6),NOT(E6),NOT(F6)),AND((OR(C6,D6,E6)),F6)),"OK","ERRORE")</f>
        <v>OK</v>
      </c>
    </row>
    <row r="7" spans="1:11" ht="12.75" x14ac:dyDescent="0.2">
      <c r="A7" s="118" t="str">
        <f>'t1'!A7</f>
        <v>DIRIGENTE I FASCIA</v>
      </c>
      <c r="B7" s="92" t="str">
        <f>'t1'!B7</f>
        <v>0D0077</v>
      </c>
      <c r="C7" s="598">
        <f>('t1'!K7+'t1'!L7)</f>
        <v>0</v>
      </c>
      <c r="D7" s="313">
        <f>'t5'!U8+'t5'!V8</f>
        <v>0</v>
      </c>
      <c r="E7" s="313">
        <f>'t4'!S16</f>
        <v>0</v>
      </c>
      <c r="F7" s="314">
        <f>'t12'!C7</f>
        <v>0</v>
      </c>
      <c r="G7" s="333" t="str">
        <f t="shared" ref="G7:G16" si="0">IF(OR(AND(NOT(C7),NOT(D7),NOT(E7),NOT(F7)),AND((OR(C7,D7,E7)),F7)),"OK","ERRORE")</f>
        <v>OK</v>
      </c>
    </row>
    <row r="8" spans="1:11" ht="12.75" x14ac:dyDescent="0.2">
      <c r="A8" s="118" t="str">
        <f>'t1'!A8</f>
        <v>DIRIGENTE I FASCIA A TEMPO DETERM.</v>
      </c>
      <c r="B8" s="92" t="str">
        <f>'t1'!B8</f>
        <v>0D0078</v>
      </c>
      <c r="C8" s="598">
        <f>('t1'!K8+'t1'!L8)</f>
        <v>0</v>
      </c>
      <c r="D8" s="313">
        <f>'t5'!U9+'t5'!V9</f>
        <v>0</v>
      </c>
      <c r="E8" s="313">
        <f>'t4'!S17</f>
        <v>0</v>
      </c>
      <c r="F8" s="314">
        <f>'t12'!C8</f>
        <v>0</v>
      </c>
      <c r="G8" s="333" t="str">
        <f t="shared" si="0"/>
        <v>OK</v>
      </c>
    </row>
    <row r="9" spans="1:11" ht="12.75" x14ac:dyDescent="0.2">
      <c r="A9" s="118" t="str">
        <f>'t1'!A9</f>
        <v>DIRIGENTE II FASCIA</v>
      </c>
      <c r="B9" s="92" t="str">
        <f>'t1'!B9</f>
        <v>0D0079</v>
      </c>
      <c r="C9" s="598">
        <f>('t1'!K9+'t1'!L9)</f>
        <v>0</v>
      </c>
      <c r="D9" s="313">
        <f>'t5'!U10+'t5'!V10</f>
        <v>0</v>
      </c>
      <c r="E9" s="313">
        <f>'t4'!S18</f>
        <v>0</v>
      </c>
      <c r="F9" s="314">
        <f>'t12'!C9</f>
        <v>0</v>
      </c>
      <c r="G9" s="333" t="str">
        <f t="shared" si="0"/>
        <v>OK</v>
      </c>
    </row>
    <row r="10" spans="1:11" ht="12.75" x14ac:dyDescent="0.2">
      <c r="A10" s="118" t="str">
        <f>'t1'!A10</f>
        <v>DIRIGENTE II FASCIA A TEMPO DETERM.</v>
      </c>
      <c r="B10" s="92" t="str">
        <f>'t1'!B10</f>
        <v>0D0080</v>
      </c>
      <c r="C10" s="598">
        <f>('t1'!K10+'t1'!L10)</f>
        <v>0</v>
      </c>
      <c r="D10" s="313">
        <f>'t5'!U11+'t5'!V11</f>
        <v>0</v>
      </c>
      <c r="E10" s="313">
        <f>'t4'!S19</f>
        <v>0</v>
      </c>
      <c r="F10" s="314">
        <f>'t12'!C10</f>
        <v>0</v>
      </c>
      <c r="G10" s="333" t="str">
        <f t="shared" si="0"/>
        <v>OK</v>
      </c>
    </row>
    <row r="11" spans="1:11" ht="12.75" x14ac:dyDescent="0.2">
      <c r="A11" s="118" t="str">
        <f>'t1'!A11</f>
        <v>MEDICO II FASCIA T.P.</v>
      </c>
      <c r="B11" s="92" t="str">
        <f>'t1'!B11</f>
        <v>0D0584</v>
      </c>
      <c r="C11" s="598">
        <f>('t1'!K11+'t1'!L11)</f>
        <v>0</v>
      </c>
      <c r="D11" s="313">
        <f>'t5'!U12+'t5'!V12</f>
        <v>0</v>
      </c>
      <c r="E11" s="313">
        <f>'t4'!S20</f>
        <v>0</v>
      </c>
      <c r="F11" s="314">
        <f>'t12'!C11</f>
        <v>0</v>
      </c>
      <c r="G11" s="333" t="str">
        <f t="shared" si="0"/>
        <v>OK</v>
      </c>
    </row>
    <row r="12" spans="1:11" ht="12.75" x14ac:dyDescent="0.2">
      <c r="A12" s="118" t="str">
        <f>'t1'!A12</f>
        <v>MEDICO I FASCIA T.P.</v>
      </c>
      <c r="B12" s="92" t="str">
        <f>'t1'!B12</f>
        <v>0D0585</v>
      </c>
      <c r="C12" s="598">
        <f>('t1'!K12+'t1'!L12)</f>
        <v>0</v>
      </c>
      <c r="D12" s="313">
        <f>'t5'!U13+'t5'!V13</f>
        <v>0</v>
      </c>
      <c r="E12" s="313">
        <f>'t4'!S21</f>
        <v>0</v>
      </c>
      <c r="F12" s="314">
        <f>'t12'!C12</f>
        <v>0</v>
      </c>
      <c r="G12" s="333" t="str">
        <f t="shared" si="0"/>
        <v>OK</v>
      </c>
    </row>
    <row r="13" spans="1:11" ht="12.75" x14ac:dyDescent="0.2">
      <c r="A13" s="118" t="str">
        <f>'t1'!A13</f>
        <v>MEDICO II FASCIA T.D.</v>
      </c>
      <c r="B13" s="92" t="str">
        <f>'t1'!B13</f>
        <v>0D0586</v>
      </c>
      <c r="C13" s="598">
        <f>('t1'!K13+'t1'!L13)</f>
        <v>0</v>
      </c>
      <c r="D13" s="313">
        <f>'t5'!U14+'t5'!V14</f>
        <v>0</v>
      </c>
      <c r="E13" s="313">
        <f>'t4'!S22</f>
        <v>0</v>
      </c>
      <c r="F13" s="314">
        <f>'t12'!C13</f>
        <v>0</v>
      </c>
      <c r="G13" s="333" t="str">
        <f t="shared" si="0"/>
        <v>OK</v>
      </c>
    </row>
    <row r="14" spans="1:11" ht="12.75" x14ac:dyDescent="0.2">
      <c r="A14" s="118" t="str">
        <f>'t1'!A14</f>
        <v>MEDICO I FASCIA T.D.</v>
      </c>
      <c r="B14" s="92" t="str">
        <f>'t1'!B14</f>
        <v>0D0496</v>
      </c>
      <c r="C14" s="598">
        <f>('t1'!K14+'t1'!L14)</f>
        <v>0</v>
      </c>
      <c r="D14" s="313">
        <f>'t5'!U15+'t5'!V15</f>
        <v>0</v>
      </c>
      <c r="E14" s="313">
        <f>'t4'!S23</f>
        <v>0</v>
      </c>
      <c r="F14" s="314">
        <f>'t12'!C14</f>
        <v>0</v>
      </c>
      <c r="G14" s="333" t="str">
        <f t="shared" si="0"/>
        <v>OK</v>
      </c>
    </row>
    <row r="15" spans="1:11" ht="12.75" x14ac:dyDescent="0.2">
      <c r="A15" s="118" t="str">
        <f>'t1'!A15</f>
        <v>PROFESSIONISTI II LIVELLO</v>
      </c>
      <c r="B15" s="92" t="str">
        <f>'t1'!B15</f>
        <v>0D0PR2</v>
      </c>
      <c r="C15" s="598">
        <f>('t1'!K15+'t1'!L15)</f>
        <v>0</v>
      </c>
      <c r="D15" s="313">
        <f>'t5'!U16+'t5'!V16</f>
        <v>0</v>
      </c>
      <c r="E15" s="313">
        <f>'t4'!S24</f>
        <v>0</v>
      </c>
      <c r="F15" s="314">
        <f>'t12'!C15</f>
        <v>0</v>
      </c>
      <c r="G15" s="333" t="str">
        <f t="shared" si="0"/>
        <v>OK</v>
      </c>
    </row>
    <row r="16" spans="1:11" ht="12.75" x14ac:dyDescent="0.2">
      <c r="A16" s="118" t="str">
        <f>'t1'!A16</f>
        <v>PROFESSIONISTI I LIVELLO</v>
      </c>
      <c r="B16" s="92" t="str">
        <f>'t1'!B16</f>
        <v>0D0PR1</v>
      </c>
      <c r="C16" s="598">
        <f>('t1'!K16+'t1'!L16)</f>
        <v>0</v>
      </c>
      <c r="D16" s="313">
        <f>'t5'!U17+'t5'!V17</f>
        <v>0</v>
      </c>
      <c r="E16" s="313">
        <f>'t4'!S25</f>
        <v>0</v>
      </c>
      <c r="F16" s="314">
        <f>'t12'!C16</f>
        <v>0</v>
      </c>
      <c r="G16" s="333" t="str">
        <f t="shared" si="0"/>
        <v>OK</v>
      </c>
    </row>
    <row r="17" spans="1:7" ht="12.75" x14ac:dyDescent="0.2">
      <c r="A17" s="118" t="str">
        <f>'t1'!A17</f>
        <v>ELEVATE PROFESSIONALITA'</v>
      </c>
      <c r="B17" s="92" t="str">
        <f>'t1'!B17</f>
        <v>0EP981</v>
      </c>
      <c r="C17" s="598">
        <f>('t1'!K17+'t1'!L17)</f>
        <v>0</v>
      </c>
      <c r="D17" s="313">
        <f>'t5'!U18+'t5'!V18</f>
        <v>0</v>
      </c>
      <c r="E17" s="313">
        <f>'t4'!S26</f>
        <v>0</v>
      </c>
      <c r="F17" s="314">
        <f>'t12'!C17</f>
        <v>0</v>
      </c>
      <c r="G17" s="333" t="str">
        <f>IF(OR(AND(NOT(C17),NOT(D17),NOT(E17),NOT(F17)),AND((OR(C17,D17,E17)),F17)),"OK","ERRORE")</f>
        <v>OK</v>
      </c>
    </row>
    <row r="18" spans="1:7" ht="12.75" x14ac:dyDescent="0.2">
      <c r="A18" s="118" t="str">
        <f>'t1'!A18</f>
        <v>FUNZIONARI</v>
      </c>
      <c r="B18" s="92" t="str">
        <f>'t1'!B18</f>
        <v>0FZ000</v>
      </c>
      <c r="C18" s="598">
        <f>('t1'!K18+'t1'!L18)</f>
        <v>0</v>
      </c>
      <c r="D18" s="313">
        <f>'t5'!U19+'t5'!V19</f>
        <v>0</v>
      </c>
      <c r="E18" s="313">
        <f>'t4'!S27</f>
        <v>0</v>
      </c>
      <c r="F18" s="314">
        <f>'t12'!C18</f>
        <v>0</v>
      </c>
      <c r="G18" s="333" t="str">
        <f>IF(OR(AND(NOT(C18),NOT(D18),NOT(E18),NOT(F18)),AND((OR(C18,D18,E18)),F18)),"OK","ERRORE")</f>
        <v>OK</v>
      </c>
    </row>
    <row r="19" spans="1:7" ht="12.75" x14ac:dyDescent="0.2">
      <c r="A19" s="118" t="str">
        <f>'t1'!A19</f>
        <v>ASSISTENTI</v>
      </c>
      <c r="B19" s="92" t="str">
        <f>'t1'!B19</f>
        <v>0AS000</v>
      </c>
      <c r="C19" s="598">
        <f>('t1'!K19+'t1'!L19)</f>
        <v>1</v>
      </c>
      <c r="D19" s="313">
        <f>'t5'!U20+'t5'!V20</f>
        <v>0</v>
      </c>
      <c r="E19" s="313">
        <f>'t4'!S28</f>
        <v>0</v>
      </c>
      <c r="F19" s="314">
        <f>'t12'!C19</f>
        <v>6.66</v>
      </c>
      <c r="G19" s="333" t="str">
        <f>IF(OR(AND(NOT(C19),NOT(D19),NOT(E19),NOT(F19)),AND((OR(C19,D19,E19)),F19)),"OK","ERRORE")</f>
        <v>OK</v>
      </c>
    </row>
    <row r="20" spans="1:7" ht="12.75" x14ac:dyDescent="0.2">
      <c r="A20" s="118" t="str">
        <f>'t1'!A20</f>
        <v>OPERATORI</v>
      </c>
      <c r="B20" s="92" t="str">
        <f>'t1'!B20</f>
        <v>0OP000</v>
      </c>
      <c r="C20" s="598">
        <f>('t1'!K20+'t1'!L20)</f>
        <v>0</v>
      </c>
      <c r="D20" s="313">
        <f>'t5'!U21+'t5'!V21</f>
        <v>0</v>
      </c>
      <c r="E20" s="313">
        <f>'t4'!S29</f>
        <v>0</v>
      </c>
      <c r="F20" s="314">
        <f>'t12'!C20</f>
        <v>0</v>
      </c>
      <c r="G20" s="333" t="str">
        <f>IF(OR(AND(NOT(C20),NOT(D20),NOT(E20),NOT(F20)),AND((OR(C20,D20,E20)),F20)),"OK","ERRORE")</f>
        <v>OK</v>
      </c>
    </row>
    <row r="21" spans="1:7" ht="12.75" x14ac:dyDescent="0.2">
      <c r="A21" s="118" t="str">
        <f>'t1'!A21</f>
        <v>CONTRATTISTI</v>
      </c>
      <c r="B21" s="92" t="str">
        <f>'t1'!B21</f>
        <v>000061</v>
      </c>
      <c r="C21" s="598">
        <f>('t1'!K21+'t1'!L21)</f>
        <v>0</v>
      </c>
      <c r="D21" s="313">
        <f>'t5'!U22+'t5'!V22</f>
        <v>0</v>
      </c>
      <c r="E21" s="313">
        <f>'t4'!S30</f>
        <v>0</v>
      </c>
      <c r="F21" s="314">
        <f>'t12'!C21</f>
        <v>0</v>
      </c>
      <c r="G21" s="333" t="str">
        <f>IF(OR(AND(NOT(C21),NOT(D21),NOT(E21),NOT(F21)),AND((OR(C21,D21,E21)),F21)),"OK","ERRORE")</f>
        <v>OK</v>
      </c>
    </row>
  </sheetData>
  <sheetProtection algorithmName="SHA-512" hashValue="84ePkQhxthOnDu76F92oSNpEA4OoE0ON0hRZtxX3ZD9FMtavA2PQxchv8xRaVofc6xYtdOg8rCf/CK2UuA1YYA==" saltValue="o3EM746+PV0/BqnHbyEdpw==" spinCount="100000" sheet="1" formatColumns="0" selectLockedCells="1" selectUnlockedCells="1"/>
  <mergeCells count="2">
    <mergeCell ref="A1:G1"/>
    <mergeCell ref="D2:G2"/>
  </mergeCells>
  <phoneticPr fontId="30" type="noConversion"/>
  <printOptions horizontalCentered="1" verticalCentered="1"/>
  <pageMargins left="0.19685039370078741" right="0.19685039370078741" top="0.19685039370078741" bottom="0.15748031496062992" header="0.15748031496062992" footer="0.15748031496062992"/>
  <pageSetup paperSize="9" scale="85" orientation="landscape" horizontalDpi="0" verticalDpi="0"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Foglio31"/>
  <dimension ref="A1:I21"/>
  <sheetViews>
    <sheetView showGridLines="0" workbookViewId="0">
      <pane ySplit="5" topLeftCell="A12" activePane="bottomLeft" state="frozen"/>
      <selection activeCell="A2" sqref="A2"/>
      <selection pane="bottomLeft" activeCell="B5" sqref="B5"/>
    </sheetView>
  </sheetViews>
  <sheetFormatPr defaultRowHeight="11.25" x14ac:dyDescent="0.2"/>
  <cols>
    <col min="1" max="1" width="38.6640625" style="3" customWidth="1"/>
    <col min="2" max="2" width="11.33203125" style="2" customWidth="1"/>
    <col min="3" max="3" width="17.6640625" style="2" customWidth="1"/>
    <col min="4" max="4" width="26.6640625" style="331" customWidth="1"/>
    <col min="5" max="5" width="15.6640625" style="2" customWidth="1"/>
    <col min="6" max="6" width="9.33203125" style="95" customWidth="1"/>
  </cols>
  <sheetData>
    <row r="1" spans="1:9" s="3" customFormat="1" ht="43.5" customHeight="1" x14ac:dyDescent="0.2">
      <c r="A1" s="1447" t="str">
        <f>'t1'!A1</f>
        <v>ENTI PUBBLICI NON ECONOMICI - anno 2024</v>
      </c>
      <c r="B1" s="1447"/>
      <c r="C1" s="1447"/>
      <c r="D1" s="1447"/>
      <c r="E1" s="1447"/>
      <c r="I1"/>
    </row>
    <row r="2" spans="1:9" s="3" customFormat="1" ht="12.75" customHeight="1" x14ac:dyDescent="0.2">
      <c r="C2" s="1537"/>
      <c r="D2" s="1537"/>
      <c r="E2" s="1537"/>
      <c r="F2" s="289"/>
      <c r="I2"/>
    </row>
    <row r="3" spans="1:9" s="3" customFormat="1" ht="21" customHeight="1" x14ac:dyDescent="0.25">
      <c r="A3" s="173" t="s">
        <v>325</v>
      </c>
      <c r="B3" s="2"/>
      <c r="D3" s="332"/>
      <c r="E3" s="2"/>
    </row>
    <row r="4" spans="1:9" ht="81.75" customHeight="1" x14ac:dyDescent="0.15">
      <c r="A4" s="160" t="s">
        <v>218</v>
      </c>
      <c r="B4" s="161" t="s">
        <v>180</v>
      </c>
      <c r="C4" s="161" t="s">
        <v>278</v>
      </c>
      <c r="D4" s="365" t="s">
        <v>306</v>
      </c>
      <c r="E4" s="161" t="s">
        <v>288</v>
      </c>
    </row>
    <row r="5" spans="1:9" s="176" customFormat="1" ht="10.5" x14ac:dyDescent="0.15">
      <c r="A5" s="159"/>
      <c r="B5" s="171"/>
      <c r="C5" s="171" t="s">
        <v>182</v>
      </c>
      <c r="D5" s="366" t="s">
        <v>183</v>
      </c>
      <c r="E5" s="171"/>
      <c r="F5" s="175"/>
    </row>
    <row r="6" spans="1:9" ht="12.75" x14ac:dyDescent="0.2">
      <c r="A6" s="118" t="str">
        <f>'t1'!A6</f>
        <v>DIRETTORE GENERALE</v>
      </c>
      <c r="B6" s="92" t="str">
        <f>'t1'!B6</f>
        <v>0D0097</v>
      </c>
      <c r="C6" s="313">
        <f>'t13'!V6</f>
        <v>0</v>
      </c>
      <c r="D6" s="314">
        <f>('t3'!K6+'t3'!L6+'t3'!M6+'t3'!N6+'t3'!O6+'t3'!P6)+('t12'!C6/12)</f>
        <v>0</v>
      </c>
      <c r="E6" s="333" t="str">
        <f>IF(OR((NOT(C6)),(AND(C6&gt;=0,D6&gt;0))),"OK","ERRORE")</f>
        <v>OK</v>
      </c>
    </row>
    <row r="7" spans="1:9" ht="12.75" x14ac:dyDescent="0.2">
      <c r="A7" s="118" t="str">
        <f>'t1'!A7</f>
        <v>DIRIGENTE I FASCIA</v>
      </c>
      <c r="B7" s="92" t="str">
        <f>'t1'!B7</f>
        <v>0D0077</v>
      </c>
      <c r="C7" s="313">
        <f>'t13'!V7</f>
        <v>0</v>
      </c>
      <c r="D7" s="314">
        <f>('t3'!K7+'t3'!L7+'t3'!M7+'t3'!N7+'t3'!O7+'t3'!P7)+('t12'!C7/12)</f>
        <v>0</v>
      </c>
      <c r="E7" s="333" t="str">
        <f t="shared" ref="E7:E21" si="0">IF(OR((NOT(C7)),(AND(C7&gt;=0,D7&gt;0))),"OK","ERRORE")</f>
        <v>OK</v>
      </c>
    </row>
    <row r="8" spans="1:9" ht="12.75" x14ac:dyDescent="0.2">
      <c r="A8" s="118" t="str">
        <f>'t1'!A8</f>
        <v>DIRIGENTE I FASCIA A TEMPO DETERM.</v>
      </c>
      <c r="B8" s="92" t="str">
        <f>'t1'!B8</f>
        <v>0D0078</v>
      </c>
      <c r="C8" s="313">
        <f>'t13'!V8</f>
        <v>0</v>
      </c>
      <c r="D8" s="314">
        <f>('t3'!K8+'t3'!L8+'t3'!M8+'t3'!N8+'t3'!O8+'t3'!P8)+('t12'!C8/12)</f>
        <v>0</v>
      </c>
      <c r="E8" s="333" t="str">
        <f t="shared" si="0"/>
        <v>OK</v>
      </c>
    </row>
    <row r="9" spans="1:9" ht="12.75" x14ac:dyDescent="0.2">
      <c r="A9" s="118" t="str">
        <f>'t1'!A9</f>
        <v>DIRIGENTE II FASCIA</v>
      </c>
      <c r="B9" s="92" t="str">
        <f>'t1'!B9</f>
        <v>0D0079</v>
      </c>
      <c r="C9" s="313">
        <f>'t13'!V9</f>
        <v>0</v>
      </c>
      <c r="D9" s="314">
        <f>('t3'!K9+'t3'!L9+'t3'!M9+'t3'!N9+'t3'!O9+'t3'!P9)+('t12'!C9/12)</f>
        <v>0</v>
      </c>
      <c r="E9" s="333" t="str">
        <f t="shared" si="0"/>
        <v>OK</v>
      </c>
    </row>
    <row r="10" spans="1:9" ht="12.75" x14ac:dyDescent="0.2">
      <c r="A10" s="118" t="str">
        <f>'t1'!A10</f>
        <v>DIRIGENTE II FASCIA A TEMPO DETERM.</v>
      </c>
      <c r="B10" s="92" t="str">
        <f>'t1'!B10</f>
        <v>0D0080</v>
      </c>
      <c r="C10" s="313">
        <f>'t13'!V10</f>
        <v>0</v>
      </c>
      <c r="D10" s="314">
        <f>('t3'!K10+'t3'!L10+'t3'!M10+'t3'!N10+'t3'!O10+'t3'!P10)+('t12'!C10/12)</f>
        <v>0</v>
      </c>
      <c r="E10" s="333" t="str">
        <f t="shared" si="0"/>
        <v>OK</v>
      </c>
    </row>
    <row r="11" spans="1:9" ht="12.75" x14ac:dyDescent="0.2">
      <c r="A11" s="118" t="str">
        <f>'t1'!A11</f>
        <v>MEDICO II FASCIA T.P.</v>
      </c>
      <c r="B11" s="92" t="str">
        <f>'t1'!B11</f>
        <v>0D0584</v>
      </c>
      <c r="C11" s="313">
        <f>'t13'!V11</f>
        <v>0</v>
      </c>
      <c r="D11" s="314">
        <f>('t3'!K11+'t3'!L11+'t3'!M11+'t3'!N11+'t3'!O11+'t3'!P11)+('t12'!C11/12)</f>
        <v>0</v>
      </c>
      <c r="E11" s="333" t="str">
        <f t="shared" si="0"/>
        <v>OK</v>
      </c>
    </row>
    <row r="12" spans="1:9" ht="12.75" x14ac:dyDescent="0.2">
      <c r="A12" s="118" t="str">
        <f>'t1'!A12</f>
        <v>MEDICO I FASCIA T.P.</v>
      </c>
      <c r="B12" s="92" t="str">
        <f>'t1'!B12</f>
        <v>0D0585</v>
      </c>
      <c r="C12" s="313">
        <f>'t13'!V12</f>
        <v>0</v>
      </c>
      <c r="D12" s="314">
        <f>('t3'!K12+'t3'!L12+'t3'!M12+'t3'!N12+'t3'!O12+'t3'!P12)+('t12'!C12/12)</f>
        <v>0</v>
      </c>
      <c r="E12" s="333" t="str">
        <f t="shared" si="0"/>
        <v>OK</v>
      </c>
    </row>
    <row r="13" spans="1:9" ht="12.75" x14ac:dyDescent="0.2">
      <c r="A13" s="118" t="str">
        <f>'t1'!A13</f>
        <v>MEDICO II FASCIA T.D.</v>
      </c>
      <c r="B13" s="92" t="str">
        <f>'t1'!B13</f>
        <v>0D0586</v>
      </c>
      <c r="C13" s="313">
        <f>'t13'!V13</f>
        <v>0</v>
      </c>
      <c r="D13" s="314">
        <f>('t3'!K13+'t3'!L13+'t3'!M13+'t3'!N13+'t3'!O13+'t3'!P13)+('t12'!C13/12)</f>
        <v>0</v>
      </c>
      <c r="E13" s="333" t="str">
        <f t="shared" si="0"/>
        <v>OK</v>
      </c>
    </row>
    <row r="14" spans="1:9" ht="12.75" x14ac:dyDescent="0.2">
      <c r="A14" s="118" t="str">
        <f>'t1'!A14</f>
        <v>MEDICO I FASCIA T.D.</v>
      </c>
      <c r="B14" s="92" t="str">
        <f>'t1'!B14</f>
        <v>0D0496</v>
      </c>
      <c r="C14" s="313">
        <f>'t13'!V14</f>
        <v>0</v>
      </c>
      <c r="D14" s="314">
        <f>('t3'!K14+'t3'!L14+'t3'!M14+'t3'!N14+'t3'!O14+'t3'!P14)+('t12'!C14/12)</f>
        <v>0</v>
      </c>
      <c r="E14" s="333" t="str">
        <f t="shared" si="0"/>
        <v>OK</v>
      </c>
    </row>
    <row r="15" spans="1:9" ht="12.75" x14ac:dyDescent="0.2">
      <c r="A15" s="118" t="str">
        <f>'t1'!A15</f>
        <v>PROFESSIONISTI II LIVELLO</v>
      </c>
      <c r="B15" s="92" t="str">
        <f>'t1'!B15</f>
        <v>0D0PR2</v>
      </c>
      <c r="C15" s="313">
        <f>'t13'!V15</f>
        <v>0</v>
      </c>
      <c r="D15" s="314">
        <f>('t3'!K15+'t3'!L15+'t3'!M15+'t3'!N15+'t3'!O15+'t3'!P15)+('t12'!C15/12)</f>
        <v>0</v>
      </c>
      <c r="E15" s="333" t="str">
        <f t="shared" si="0"/>
        <v>OK</v>
      </c>
    </row>
    <row r="16" spans="1:9" ht="12.75" x14ac:dyDescent="0.2">
      <c r="A16" s="118" t="str">
        <f>'t1'!A16</f>
        <v>PROFESSIONISTI I LIVELLO</v>
      </c>
      <c r="B16" s="92" t="str">
        <f>'t1'!B16</f>
        <v>0D0PR1</v>
      </c>
      <c r="C16" s="313">
        <f>'t13'!V16</f>
        <v>0</v>
      </c>
      <c r="D16" s="314">
        <f>('t3'!K16+'t3'!L16+'t3'!M16+'t3'!N16+'t3'!O16+'t3'!P16)+('t12'!C16/12)</f>
        <v>0</v>
      </c>
      <c r="E16" s="333" t="str">
        <f t="shared" si="0"/>
        <v>OK</v>
      </c>
    </row>
    <row r="17" spans="1:5" ht="12.75" x14ac:dyDescent="0.2">
      <c r="A17" s="118" t="str">
        <f>'t1'!A17</f>
        <v>ELEVATE PROFESSIONALITA'</v>
      </c>
      <c r="B17" s="92" t="str">
        <f>'t1'!B17</f>
        <v>0EP981</v>
      </c>
      <c r="C17" s="313">
        <f>'t13'!V17</f>
        <v>0</v>
      </c>
      <c r="D17" s="314">
        <f>('t3'!K17+'t3'!L17+'t3'!M17+'t3'!N17+'t3'!O17+'t3'!P17)+('t12'!C17/12)</f>
        <v>0</v>
      </c>
      <c r="E17" s="333" t="str">
        <f>IF(OR((NOT(C17)),(AND(C17&gt;=0,D17&gt;0))),"OK","ERRORE")</f>
        <v>OK</v>
      </c>
    </row>
    <row r="18" spans="1:5" ht="12.75" x14ac:dyDescent="0.2">
      <c r="A18" s="118" t="str">
        <f>'t1'!A18</f>
        <v>FUNZIONARI</v>
      </c>
      <c r="B18" s="92" t="str">
        <f>'t1'!B18</f>
        <v>0FZ000</v>
      </c>
      <c r="C18" s="313">
        <f>'t13'!V18</f>
        <v>0</v>
      </c>
      <c r="D18" s="314">
        <f>('t3'!K18+'t3'!L18+'t3'!M18+'t3'!N18+'t3'!O18+'t3'!P18)+('t12'!C18/12)</f>
        <v>0</v>
      </c>
      <c r="E18" s="333" t="str">
        <f>IF(OR((NOT(C18)),(AND(C18&gt;=0,D18&gt;0))),"OK","ERRORE")</f>
        <v>OK</v>
      </c>
    </row>
    <row r="19" spans="1:5" ht="12.75" x14ac:dyDescent="0.2">
      <c r="A19" s="118" t="str">
        <f>'t1'!A19</f>
        <v>ASSISTENTI</v>
      </c>
      <c r="B19" s="92" t="str">
        <f>'t1'!B19</f>
        <v>0AS000</v>
      </c>
      <c r="C19" s="313">
        <f>'t13'!V19</f>
        <v>3804</v>
      </c>
      <c r="D19" s="314">
        <f>('t3'!K19+'t3'!L19+'t3'!M19+'t3'!N19+'t3'!O19+'t3'!P19)+('t12'!C19/12)</f>
        <v>0.56000000000000005</v>
      </c>
      <c r="E19" s="333" t="str">
        <f>IF(OR((NOT(C19)),(AND(C19&gt;=0,D19&gt;0))),"OK","ERRORE")</f>
        <v>OK</v>
      </c>
    </row>
    <row r="20" spans="1:5" ht="12.75" x14ac:dyDescent="0.2">
      <c r="A20" s="118" t="str">
        <f>'t1'!A20</f>
        <v>OPERATORI</v>
      </c>
      <c r="B20" s="92" t="str">
        <f>'t1'!B20</f>
        <v>0OP000</v>
      </c>
      <c r="C20" s="313">
        <f>'t13'!V20</f>
        <v>0</v>
      </c>
      <c r="D20" s="314">
        <f>('t3'!K20+'t3'!L20+'t3'!M20+'t3'!N20+'t3'!O20+'t3'!P20)+('t12'!C20/12)</f>
        <v>0</v>
      </c>
      <c r="E20" s="333" t="str">
        <f>IF(OR((NOT(C20)),(AND(C20&gt;=0,D20&gt;0))),"OK","ERRORE")</f>
        <v>OK</v>
      </c>
    </row>
    <row r="21" spans="1:5" ht="12.75" x14ac:dyDescent="0.2">
      <c r="A21" s="118" t="str">
        <f>'t1'!A21</f>
        <v>CONTRATTISTI</v>
      </c>
      <c r="B21" s="92" t="str">
        <f>'t1'!B21</f>
        <v>000061</v>
      </c>
      <c r="C21" s="313">
        <f>'t13'!V21</f>
        <v>0</v>
      </c>
      <c r="D21" s="314">
        <f>('t3'!K21+'t3'!L21+'t3'!M21+'t3'!N21+'t3'!O21+'t3'!P21)+('t12'!C21/12)</f>
        <v>0</v>
      </c>
      <c r="E21" s="333" t="str">
        <f t="shared" si="0"/>
        <v>OK</v>
      </c>
    </row>
  </sheetData>
  <sheetProtection algorithmName="SHA-512" hashValue="b29Dc7MIDVsGMMr219Ej/FIbavwlDJmiGWpl4ipommWf2ZHcG9l62NsC0EwWWheK5lLbPqUgNOMJ+IejMxyeIQ==" saltValue="7L3swZYSheoo+JwG22gGjg==" spinCount="100000" sheet="1" formatColumns="0" selectLockedCells="1" selectUnlockedCells="1"/>
  <mergeCells count="2">
    <mergeCell ref="A1:E1"/>
    <mergeCell ref="C2:E2"/>
  </mergeCells>
  <phoneticPr fontId="30" type="noConversion"/>
  <printOptions horizontalCentered="1" verticalCentered="1"/>
  <pageMargins left="0.19685039370078741" right="0.19685039370078741" top="0.19685039370078741" bottom="0.15748031496062992" header="0.15748031496062992" footer="0.15748031496062992"/>
  <pageSetup paperSize="9" scale="85" orientation="landscape" horizontalDpi="0" verticalDpi="0"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Foglio28"/>
  <dimension ref="A1:N21"/>
  <sheetViews>
    <sheetView showGridLines="0" workbookViewId="0">
      <pane xSplit="2" ySplit="5" topLeftCell="C6" activePane="bottomRight" state="frozen"/>
      <selection activeCell="A2" sqref="A2"/>
      <selection pane="topRight" activeCell="A2" sqref="A2"/>
      <selection pane="bottomLeft" activeCell="A2" sqref="A2"/>
      <selection pane="bottomRight" activeCell="B2" sqref="B2"/>
    </sheetView>
  </sheetViews>
  <sheetFormatPr defaultRowHeight="11.25" x14ac:dyDescent="0.2"/>
  <cols>
    <col min="1" max="1" width="38.6640625" style="3" customWidth="1"/>
    <col min="2" max="2" width="10" style="2" customWidth="1"/>
    <col min="3" max="8" width="11.6640625" style="2" customWidth="1"/>
    <col min="9" max="9" width="13.6640625" style="2" customWidth="1"/>
    <col min="10" max="11" width="16.6640625" style="2" hidden="1" customWidth="1"/>
    <col min="12" max="12" width="85.6640625" customWidth="1"/>
  </cols>
  <sheetData>
    <row r="1" spans="1:14" s="3" customFormat="1" ht="43.5" customHeight="1" x14ac:dyDescent="0.2">
      <c r="A1" s="1447" t="str">
        <f>'t1'!A1</f>
        <v>ENTI PUBBLICI NON ECONOMICI - anno 2024</v>
      </c>
      <c r="B1" s="1447"/>
      <c r="C1" s="1447"/>
      <c r="D1" s="1447"/>
      <c r="E1" s="1447"/>
      <c r="F1" s="1447"/>
      <c r="G1" s="1447"/>
      <c r="H1" s="1447"/>
      <c r="I1" s="1447"/>
      <c r="J1" s="1447"/>
      <c r="K1" s="1447"/>
      <c r="N1"/>
    </row>
    <row r="2" spans="1:14" s="3" customFormat="1" ht="12.75" customHeight="1" x14ac:dyDescent="0.2">
      <c r="D2" s="1537"/>
      <c r="E2" s="1537"/>
      <c r="F2" s="1537"/>
      <c r="G2" s="1537"/>
      <c r="H2" s="1537"/>
      <c r="I2" s="1537"/>
      <c r="J2" s="1537"/>
      <c r="K2" s="1537"/>
      <c r="N2"/>
    </row>
    <row r="3" spans="1:14" s="3" customFormat="1" ht="21" customHeight="1" x14ac:dyDescent="0.25">
      <c r="A3" s="173" t="s">
        <v>619</v>
      </c>
      <c r="B3" s="2"/>
      <c r="C3" s="2"/>
    </row>
    <row r="4" spans="1:14" ht="45" x14ac:dyDescent="0.15">
      <c r="A4" s="160" t="s">
        <v>218</v>
      </c>
      <c r="B4" s="161" t="s">
        <v>180</v>
      </c>
      <c r="C4" s="161" t="s">
        <v>37</v>
      </c>
      <c r="D4" s="161" t="s">
        <v>38</v>
      </c>
      <c r="E4" s="161" t="s">
        <v>39</v>
      </c>
      <c r="F4" s="161" t="s">
        <v>40</v>
      </c>
      <c r="G4" s="161" t="s">
        <v>41</v>
      </c>
      <c r="H4" s="161" t="s">
        <v>42</v>
      </c>
      <c r="I4" s="161" t="s">
        <v>43</v>
      </c>
      <c r="J4" s="161" t="s">
        <v>44</v>
      </c>
      <c r="K4" s="161" t="s">
        <v>45</v>
      </c>
      <c r="L4" s="514" t="s">
        <v>391</v>
      </c>
    </row>
    <row r="5" spans="1:14" s="176" customFormat="1" ht="56.25" hidden="1" x14ac:dyDescent="0.15">
      <c r="A5" s="159"/>
      <c r="B5" s="171"/>
      <c r="C5" s="171" t="s">
        <v>182</v>
      </c>
      <c r="D5" s="171" t="s">
        <v>183</v>
      </c>
      <c r="E5" s="171" t="s">
        <v>184</v>
      </c>
      <c r="F5" s="171" t="s">
        <v>185</v>
      </c>
      <c r="G5" s="171" t="s">
        <v>186</v>
      </c>
      <c r="H5" s="171" t="s">
        <v>206</v>
      </c>
      <c r="I5" s="171"/>
      <c r="J5" s="556" t="s">
        <v>404</v>
      </c>
      <c r="K5" s="556" t="s">
        <v>564</v>
      </c>
      <c r="L5" s="558"/>
    </row>
    <row r="6" spans="1:14" ht="12.75" x14ac:dyDescent="0.2">
      <c r="A6" s="118" t="str">
        <f>'t1'!A6</f>
        <v>DIRETTORE GENERALE</v>
      </c>
      <c r="B6" s="92" t="str">
        <f>'t1'!B6</f>
        <v>0D0097</v>
      </c>
      <c r="C6" s="313">
        <f>'t11'!Y8+'t11'!Z8</f>
        <v>0</v>
      </c>
      <c r="D6" s="313">
        <f>'t1'!K6+'t1'!L6</f>
        <v>0</v>
      </c>
      <c r="E6" s="313">
        <f>'t3'!K6+'t3'!L6+'t3'!M6+'t3'!N6+'t3'!O6+'t3'!P6</f>
        <v>0</v>
      </c>
      <c r="F6" s="313">
        <f>'t4'!S15</f>
        <v>0</v>
      </c>
      <c r="G6" s="311">
        <f>'t4'!$C$31</f>
        <v>0</v>
      </c>
      <c r="H6" s="313">
        <f>'t5'!U7+'t5'!V7</f>
        <v>0</v>
      </c>
      <c r="I6" s="333" t="str">
        <f>IF(AND(J6="OK",K6="OK"),"OK","ERRORE")</f>
        <v>OK</v>
      </c>
      <c r="J6" s="333" t="str">
        <f>IF(AND(C6&gt;0,D6=0,E6=0,F6=0,G6=0,H6=0),"KO","OK")</f>
        <v>OK</v>
      </c>
      <c r="K6" s="333" t="str">
        <f>IF(AND(C6=0,OR(D6&gt;0,E6&gt;0,F6&gt;0,G6&gt;0,H6&gt;0)),"KO","OK")</f>
        <v>OK</v>
      </c>
      <c r="L6" s="559" t="str">
        <f>IF(K6="KO",$K$5,IF(J6="KO",$J$5,""))</f>
        <v/>
      </c>
    </row>
    <row r="7" spans="1:14" ht="12.75" x14ac:dyDescent="0.2">
      <c r="A7" s="118" t="str">
        <f>'t1'!A7</f>
        <v>DIRIGENTE I FASCIA</v>
      </c>
      <c r="B7" s="92" t="str">
        <f>'t1'!B7</f>
        <v>0D0077</v>
      </c>
      <c r="C7" s="313">
        <f>'t11'!Y9+'t11'!Z9</f>
        <v>0</v>
      </c>
      <c r="D7" s="313">
        <f>'t1'!K7+'t1'!L7</f>
        <v>0</v>
      </c>
      <c r="E7" s="313">
        <f>'t3'!K7+'t3'!L7+'t3'!M7+'t3'!N7+'t3'!O7+'t3'!P7</f>
        <v>0</v>
      </c>
      <c r="F7" s="313">
        <f>'t4'!S16</f>
        <v>0</v>
      </c>
      <c r="G7" s="311">
        <f>'t4'!$D$31</f>
        <v>0</v>
      </c>
      <c r="H7" s="313">
        <f>'t5'!U8+'t5'!V8</f>
        <v>0</v>
      </c>
      <c r="I7" s="333" t="str">
        <f t="shared" ref="I7:I16" si="0">IF(AND(J7="OK",K7="OK"),"OK","ERRORE")</f>
        <v>OK</v>
      </c>
      <c r="J7" s="333" t="str">
        <f>IF(AND(C7&gt;0,D7=0,E7=0,F7=0,G7=0,H7=0),"KO","OK")</f>
        <v>OK</v>
      </c>
      <c r="K7" s="333" t="str">
        <f>IF(AND(C7=0,OR(D7&gt;0,E7&gt;0,F7&gt;0,G7&gt;0,H7&gt;0)),"KO","OK")</f>
        <v>OK</v>
      </c>
      <c r="L7" s="559" t="str">
        <f t="shared" ref="L7:L21" si="1">IF(K7="KO",$K$5,IF(J7="KO",$J$5,""))</f>
        <v/>
      </c>
    </row>
    <row r="8" spans="1:14" ht="12.75" x14ac:dyDescent="0.2">
      <c r="A8" s="118" t="str">
        <f>'t1'!A8</f>
        <v>DIRIGENTE I FASCIA A TEMPO DETERM.</v>
      </c>
      <c r="B8" s="92" t="str">
        <f>'t1'!B8</f>
        <v>0D0078</v>
      </c>
      <c r="C8" s="313">
        <f>'t11'!Y10+'t11'!Z10</f>
        <v>0</v>
      </c>
      <c r="D8" s="313">
        <f>'t1'!K8+'t1'!L8</f>
        <v>0</v>
      </c>
      <c r="E8" s="313">
        <f>'t3'!K8+'t3'!L8+'t3'!M8+'t3'!N8+'t3'!O8+'t3'!P8</f>
        <v>0</v>
      </c>
      <c r="F8" s="313">
        <f>'t4'!S17</f>
        <v>0</v>
      </c>
      <c r="G8" s="311">
        <f>'t4'!$E$31</f>
        <v>0</v>
      </c>
      <c r="H8" s="313">
        <f>'t5'!U9+'t5'!V9</f>
        <v>0</v>
      </c>
      <c r="I8" s="333" t="str">
        <f t="shared" si="0"/>
        <v>OK</v>
      </c>
      <c r="J8" s="333" t="str">
        <f t="shared" ref="J8:J21" si="2">IF(AND(C8&gt;0,D8=0,E8=0,F8=0,G8=0,H8=0),"KO","OK")</f>
        <v>OK</v>
      </c>
      <c r="K8" s="333" t="str">
        <f t="shared" ref="K8:K21" si="3">IF(AND(C8=0,OR(D8&gt;0,E8&gt;0,F8&gt;0,G8&gt;0,H8&gt;0)),"KO","OK")</f>
        <v>OK</v>
      </c>
      <c r="L8" s="559" t="str">
        <f t="shared" si="1"/>
        <v/>
      </c>
    </row>
    <row r="9" spans="1:14" ht="12.75" x14ac:dyDescent="0.2">
      <c r="A9" s="118" t="str">
        <f>'t1'!A9</f>
        <v>DIRIGENTE II FASCIA</v>
      </c>
      <c r="B9" s="92" t="str">
        <f>'t1'!B9</f>
        <v>0D0079</v>
      </c>
      <c r="C9" s="313">
        <f>'t11'!Y11+'t11'!Z11</f>
        <v>0</v>
      </c>
      <c r="D9" s="313">
        <f>'t1'!K9+'t1'!L9</f>
        <v>0</v>
      </c>
      <c r="E9" s="313">
        <f>'t3'!K9+'t3'!L9+'t3'!M9+'t3'!N9+'t3'!O9+'t3'!P9</f>
        <v>0</v>
      </c>
      <c r="F9" s="313">
        <f>'t4'!S18</f>
        <v>0</v>
      </c>
      <c r="G9" s="311">
        <f>'t4'!$F$31</f>
        <v>0</v>
      </c>
      <c r="H9" s="313">
        <f>'t5'!U10+'t5'!V10</f>
        <v>0</v>
      </c>
      <c r="I9" s="333" t="str">
        <f t="shared" si="0"/>
        <v>OK</v>
      </c>
      <c r="J9" s="333" t="str">
        <f t="shared" si="2"/>
        <v>OK</v>
      </c>
      <c r="K9" s="333" t="str">
        <f t="shared" si="3"/>
        <v>OK</v>
      </c>
      <c r="L9" s="559" t="str">
        <f t="shared" si="1"/>
        <v/>
      </c>
    </row>
    <row r="10" spans="1:14" ht="12.75" x14ac:dyDescent="0.2">
      <c r="A10" s="118" t="str">
        <f>'t1'!A10</f>
        <v>DIRIGENTE II FASCIA A TEMPO DETERM.</v>
      </c>
      <c r="B10" s="92" t="str">
        <f>'t1'!B10</f>
        <v>0D0080</v>
      </c>
      <c r="C10" s="313">
        <f>'t11'!Y12+'t11'!Z12</f>
        <v>0</v>
      </c>
      <c r="D10" s="313">
        <f>'t1'!K10+'t1'!L10</f>
        <v>0</v>
      </c>
      <c r="E10" s="313">
        <f>'t3'!K10+'t3'!L10+'t3'!M10+'t3'!N10+'t3'!O10+'t3'!P10</f>
        <v>0</v>
      </c>
      <c r="F10" s="313">
        <f>'t4'!S19</f>
        <v>0</v>
      </c>
      <c r="G10" s="311">
        <f>'t4'!$G$31</f>
        <v>0</v>
      </c>
      <c r="H10" s="313">
        <f>'t5'!U11+'t5'!V11</f>
        <v>0</v>
      </c>
      <c r="I10" s="333" t="str">
        <f t="shared" si="0"/>
        <v>OK</v>
      </c>
      <c r="J10" s="333" t="str">
        <f t="shared" si="2"/>
        <v>OK</v>
      </c>
      <c r="K10" s="333" t="str">
        <f t="shared" si="3"/>
        <v>OK</v>
      </c>
      <c r="L10" s="559" t="str">
        <f t="shared" si="1"/>
        <v/>
      </c>
    </row>
    <row r="11" spans="1:14" ht="12.75" x14ac:dyDescent="0.2">
      <c r="A11" s="118" t="str">
        <f>'t1'!A11</f>
        <v>MEDICO II FASCIA T.P.</v>
      </c>
      <c r="B11" s="92" t="str">
        <f>'t1'!B11</f>
        <v>0D0584</v>
      </c>
      <c r="C11" s="313">
        <f>'t11'!Y13+'t11'!Z13</f>
        <v>0</v>
      </c>
      <c r="D11" s="313">
        <f>'t1'!K11+'t1'!L11</f>
        <v>0</v>
      </c>
      <c r="E11" s="313">
        <f>'t3'!K11+'t3'!L11+'t3'!M11+'t3'!N11+'t3'!O11+'t3'!P11</f>
        <v>0</v>
      </c>
      <c r="F11" s="313">
        <f>'t4'!S20</f>
        <v>0</v>
      </c>
      <c r="G11" s="311">
        <f>'t4'!$H$31</f>
        <v>0</v>
      </c>
      <c r="H11" s="313">
        <f>'t5'!U12+'t5'!V12</f>
        <v>0</v>
      </c>
      <c r="I11" s="333" t="str">
        <f t="shared" si="0"/>
        <v>OK</v>
      </c>
      <c r="J11" s="333" t="str">
        <f t="shared" si="2"/>
        <v>OK</v>
      </c>
      <c r="K11" s="333" t="str">
        <f t="shared" si="3"/>
        <v>OK</v>
      </c>
      <c r="L11" s="559" t="str">
        <f t="shared" si="1"/>
        <v/>
      </c>
    </row>
    <row r="12" spans="1:14" ht="12.75" x14ac:dyDescent="0.2">
      <c r="A12" s="118" t="str">
        <f>'t1'!A12</f>
        <v>MEDICO I FASCIA T.P.</v>
      </c>
      <c r="B12" s="92" t="str">
        <f>'t1'!B12</f>
        <v>0D0585</v>
      </c>
      <c r="C12" s="313">
        <f>'t11'!Y14+'t11'!Z14</f>
        <v>0</v>
      </c>
      <c r="D12" s="313">
        <f>'t1'!K12+'t1'!L12</f>
        <v>0</v>
      </c>
      <c r="E12" s="313">
        <f>'t3'!K12+'t3'!L12+'t3'!M12+'t3'!N12+'t3'!O12+'t3'!P12</f>
        <v>0</v>
      </c>
      <c r="F12" s="313">
        <f>'t4'!S21</f>
        <v>0</v>
      </c>
      <c r="G12" s="311">
        <f>'t4'!$I$31</f>
        <v>0</v>
      </c>
      <c r="H12" s="313">
        <f>'t5'!U13+'t5'!V13</f>
        <v>0</v>
      </c>
      <c r="I12" s="333" t="str">
        <f t="shared" si="0"/>
        <v>OK</v>
      </c>
      <c r="J12" s="333" t="str">
        <f t="shared" si="2"/>
        <v>OK</v>
      </c>
      <c r="K12" s="333" t="str">
        <f t="shared" si="3"/>
        <v>OK</v>
      </c>
      <c r="L12" s="559" t="str">
        <f t="shared" si="1"/>
        <v/>
      </c>
    </row>
    <row r="13" spans="1:14" ht="12.75" x14ac:dyDescent="0.2">
      <c r="A13" s="118" t="str">
        <f>'t1'!A13</f>
        <v>MEDICO II FASCIA T.D.</v>
      </c>
      <c r="B13" s="92" t="str">
        <f>'t1'!B13</f>
        <v>0D0586</v>
      </c>
      <c r="C13" s="313">
        <f>'t11'!Y15+'t11'!Z15</f>
        <v>0</v>
      </c>
      <c r="D13" s="313">
        <f>'t1'!K13+'t1'!L13</f>
        <v>0</v>
      </c>
      <c r="E13" s="313">
        <f>'t3'!K13+'t3'!L13+'t3'!M13+'t3'!N13+'t3'!O13+'t3'!P13</f>
        <v>0</v>
      </c>
      <c r="F13" s="313">
        <f>'t4'!S22</f>
        <v>0</v>
      </c>
      <c r="G13" s="311">
        <f>'t4'!$J$31</f>
        <v>0</v>
      </c>
      <c r="H13" s="313">
        <f>'t5'!U14+'t5'!V14</f>
        <v>0</v>
      </c>
      <c r="I13" s="333" t="str">
        <f t="shared" si="0"/>
        <v>OK</v>
      </c>
      <c r="J13" s="333" t="str">
        <f t="shared" si="2"/>
        <v>OK</v>
      </c>
      <c r="K13" s="333" t="str">
        <f t="shared" si="3"/>
        <v>OK</v>
      </c>
      <c r="L13" s="559" t="str">
        <f t="shared" si="1"/>
        <v/>
      </c>
    </row>
    <row r="14" spans="1:14" ht="12.75" x14ac:dyDescent="0.2">
      <c r="A14" s="118" t="str">
        <f>'t1'!A14</f>
        <v>MEDICO I FASCIA T.D.</v>
      </c>
      <c r="B14" s="92" t="str">
        <f>'t1'!B14</f>
        <v>0D0496</v>
      </c>
      <c r="C14" s="313">
        <f>'t11'!Y16+'t11'!Z16</f>
        <v>0</v>
      </c>
      <c r="D14" s="313">
        <f>'t1'!K14+'t1'!L14</f>
        <v>0</v>
      </c>
      <c r="E14" s="313">
        <f>'t3'!K14+'t3'!L14+'t3'!M14+'t3'!N14+'t3'!O14+'t3'!P14</f>
        <v>0</v>
      </c>
      <c r="F14" s="313">
        <f>'t4'!S23</f>
        <v>0</v>
      </c>
      <c r="G14" s="311">
        <f>'t4'!$K$31</f>
        <v>0</v>
      </c>
      <c r="H14" s="313">
        <f>'t5'!U15+'t5'!V15</f>
        <v>0</v>
      </c>
      <c r="I14" s="333" t="str">
        <f t="shared" si="0"/>
        <v>OK</v>
      </c>
      <c r="J14" s="333" t="str">
        <f t="shared" si="2"/>
        <v>OK</v>
      </c>
      <c r="K14" s="333" t="str">
        <f t="shared" si="3"/>
        <v>OK</v>
      </c>
      <c r="L14" s="559" t="str">
        <f t="shared" si="1"/>
        <v/>
      </c>
    </row>
    <row r="15" spans="1:14" ht="12.75" x14ac:dyDescent="0.2">
      <c r="A15" s="118" t="str">
        <f>'t1'!A15</f>
        <v>PROFESSIONISTI II LIVELLO</v>
      </c>
      <c r="B15" s="92" t="str">
        <f>'t1'!B15</f>
        <v>0D0PR2</v>
      </c>
      <c r="C15" s="313">
        <f>'t11'!Y17+'t11'!Z17</f>
        <v>0</v>
      </c>
      <c r="D15" s="313">
        <f>'t1'!K15+'t1'!L15</f>
        <v>0</v>
      </c>
      <c r="E15" s="313">
        <f>'t3'!K15+'t3'!L15+'t3'!M15+'t3'!N15+'t3'!O15+'t3'!P15</f>
        <v>0</v>
      </c>
      <c r="F15" s="313">
        <f>'t4'!S24</f>
        <v>0</v>
      </c>
      <c r="G15" s="311">
        <f>'t4'!$L$31</f>
        <v>0</v>
      </c>
      <c r="H15" s="313">
        <f>'t5'!U16+'t5'!V16</f>
        <v>0</v>
      </c>
      <c r="I15" s="333" t="str">
        <f t="shared" si="0"/>
        <v>OK</v>
      </c>
      <c r="J15" s="333" t="str">
        <f t="shared" si="2"/>
        <v>OK</v>
      </c>
      <c r="K15" s="333" t="str">
        <f t="shared" si="3"/>
        <v>OK</v>
      </c>
      <c r="L15" s="559" t="str">
        <f t="shared" si="1"/>
        <v/>
      </c>
    </row>
    <row r="16" spans="1:14" ht="12.75" x14ac:dyDescent="0.2">
      <c r="A16" s="118" t="str">
        <f>'t1'!A16</f>
        <v>PROFESSIONISTI I LIVELLO</v>
      </c>
      <c r="B16" s="92" t="str">
        <f>'t1'!B16</f>
        <v>0D0PR1</v>
      </c>
      <c r="C16" s="313">
        <f>'t11'!Y18+'t11'!Z18</f>
        <v>0</v>
      </c>
      <c r="D16" s="313">
        <f>'t1'!K16+'t1'!L16</f>
        <v>0</v>
      </c>
      <c r="E16" s="313">
        <f>'t3'!K16+'t3'!L16+'t3'!M16+'t3'!N16+'t3'!O16+'t3'!P16</f>
        <v>0</v>
      </c>
      <c r="F16" s="313">
        <f>'t4'!S25</f>
        <v>0</v>
      </c>
      <c r="G16" s="311">
        <f>'t4'!$M$31</f>
        <v>0</v>
      </c>
      <c r="H16" s="313">
        <f>'t5'!U17+'t5'!V17</f>
        <v>0</v>
      </c>
      <c r="I16" s="333" t="str">
        <f t="shared" si="0"/>
        <v>OK</v>
      </c>
      <c r="J16" s="333" t="str">
        <f t="shared" si="2"/>
        <v>OK</v>
      </c>
      <c r="K16" s="333" t="str">
        <f t="shared" si="3"/>
        <v>OK</v>
      </c>
      <c r="L16" s="559" t="str">
        <f t="shared" si="1"/>
        <v/>
      </c>
    </row>
    <row r="17" spans="1:12" ht="12.75" x14ac:dyDescent="0.2">
      <c r="A17" s="118" t="str">
        <f>'t1'!A17</f>
        <v>ELEVATE PROFESSIONALITA'</v>
      </c>
      <c r="B17" s="92" t="str">
        <f>'t1'!B17</f>
        <v>0EP981</v>
      </c>
      <c r="C17" s="313">
        <f>'t11'!Y19+'t11'!Z19</f>
        <v>0</v>
      </c>
      <c r="D17" s="313">
        <f>'t1'!K17+'t1'!L17</f>
        <v>0</v>
      </c>
      <c r="E17" s="313">
        <f>'t3'!K17+'t3'!L17+'t3'!M17+'t3'!N17+'t3'!O17+'t3'!P17</f>
        <v>0</v>
      </c>
      <c r="F17" s="313">
        <f>'t4'!S26</f>
        <v>0</v>
      </c>
      <c r="G17" s="311">
        <f>'t4'!$N$31</f>
        <v>0</v>
      </c>
      <c r="H17" s="313">
        <f>'t5'!U18+'t5'!V18</f>
        <v>0</v>
      </c>
      <c r="I17" s="333" t="str">
        <f>IF(AND(J17="OK",K17="OK"),"OK","ERRORE")</f>
        <v>OK</v>
      </c>
      <c r="J17" s="333" t="str">
        <f t="shared" si="2"/>
        <v>OK</v>
      </c>
      <c r="K17" s="333" t="str">
        <f t="shared" si="3"/>
        <v>OK</v>
      </c>
      <c r="L17" s="559" t="str">
        <f>IF(K17="KO",$K$5,IF(J17="KO",$J$5,""))</f>
        <v/>
      </c>
    </row>
    <row r="18" spans="1:12" ht="12.75" x14ac:dyDescent="0.2">
      <c r="A18" s="118" t="str">
        <f>'t1'!A18</f>
        <v>FUNZIONARI</v>
      </c>
      <c r="B18" s="92" t="str">
        <f>'t1'!B18</f>
        <v>0FZ000</v>
      </c>
      <c r="C18" s="313">
        <f>'t11'!Y20+'t11'!Z20</f>
        <v>0</v>
      </c>
      <c r="D18" s="313">
        <f>'t1'!K18+'t1'!L18</f>
        <v>0</v>
      </c>
      <c r="E18" s="313">
        <f>'t3'!K18+'t3'!L18+'t3'!M18+'t3'!N18+'t3'!O18+'t3'!P18</f>
        <v>0</v>
      </c>
      <c r="F18" s="313">
        <f>'t4'!S27</f>
        <v>0</v>
      </c>
      <c r="G18" s="311">
        <f>'t4'!$O$31</f>
        <v>0</v>
      </c>
      <c r="H18" s="313">
        <f>'t5'!U19+'t5'!V19</f>
        <v>0</v>
      </c>
      <c r="I18" s="333" t="str">
        <f>IF(AND(J18="OK",K18="OK"),"OK","ERRORE")</f>
        <v>OK</v>
      </c>
      <c r="J18" s="333" t="str">
        <f t="shared" si="2"/>
        <v>OK</v>
      </c>
      <c r="K18" s="333" t="str">
        <f t="shared" si="3"/>
        <v>OK</v>
      </c>
      <c r="L18" s="559" t="str">
        <f>IF(K18="KO",$K$5,IF(J18="KO",$J$5,""))</f>
        <v/>
      </c>
    </row>
    <row r="19" spans="1:12" ht="12.75" x14ac:dyDescent="0.2">
      <c r="A19" s="118" t="str">
        <f>'t1'!A19</f>
        <v>ASSISTENTI</v>
      </c>
      <c r="B19" s="92" t="str">
        <f>'t1'!B19</f>
        <v>0AS000</v>
      </c>
      <c r="C19" s="313">
        <f>'t11'!Y21+'t11'!Z21</f>
        <v>28</v>
      </c>
      <c r="D19" s="313">
        <f>'t1'!K19+'t1'!L19</f>
        <v>1</v>
      </c>
      <c r="E19" s="313">
        <f>'t3'!K19+'t3'!L19+'t3'!M19+'t3'!N19+'t3'!O19+'t3'!P19</f>
        <v>0</v>
      </c>
      <c r="F19" s="313">
        <f>'t4'!S28</f>
        <v>0</v>
      </c>
      <c r="G19" s="311">
        <f>'t4'!$P$31</f>
        <v>0</v>
      </c>
      <c r="H19" s="313">
        <f>'t5'!U20+'t5'!V20</f>
        <v>0</v>
      </c>
      <c r="I19" s="333" t="str">
        <f>IF(AND(J19="OK",K19="OK"),"OK","ERRORE")</f>
        <v>OK</v>
      </c>
      <c r="J19" s="333" t="str">
        <f t="shared" si="2"/>
        <v>OK</v>
      </c>
      <c r="K19" s="333" t="str">
        <f t="shared" si="3"/>
        <v>OK</v>
      </c>
      <c r="L19" s="559" t="str">
        <f>IF(K19="KO",$K$5,IF(J19="KO",$J$5,""))</f>
        <v/>
      </c>
    </row>
    <row r="20" spans="1:12" ht="12.75" x14ac:dyDescent="0.2">
      <c r="A20" s="118" t="str">
        <f>'t1'!A20</f>
        <v>OPERATORI</v>
      </c>
      <c r="B20" s="92" t="str">
        <f>'t1'!B20</f>
        <v>0OP000</v>
      </c>
      <c r="C20" s="313">
        <f>'t11'!Y22+'t11'!Z22</f>
        <v>0</v>
      </c>
      <c r="D20" s="313">
        <f>'t1'!K20+'t1'!L20</f>
        <v>0</v>
      </c>
      <c r="E20" s="313">
        <f>'t3'!K20+'t3'!L20+'t3'!M20+'t3'!N20+'t3'!O20+'t3'!P20</f>
        <v>0</v>
      </c>
      <c r="F20" s="313">
        <f>'t4'!S29</f>
        <v>0</v>
      </c>
      <c r="G20" s="311">
        <f>'t4'!$Q$31</f>
        <v>0</v>
      </c>
      <c r="H20" s="313">
        <f>'t5'!U21+'t5'!V21</f>
        <v>0</v>
      </c>
      <c r="I20" s="333" t="str">
        <f>IF(AND(J20="OK",K20="OK"),"OK","ERRORE")</f>
        <v>OK</v>
      </c>
      <c r="J20" s="333" t="str">
        <f t="shared" si="2"/>
        <v>OK</v>
      </c>
      <c r="K20" s="333" t="str">
        <f t="shared" si="3"/>
        <v>OK</v>
      </c>
      <c r="L20" s="559" t="str">
        <f>IF(K20="KO",$K$5,IF(J20="KO",$J$5,""))</f>
        <v/>
      </c>
    </row>
    <row r="21" spans="1:12" ht="12.75" x14ac:dyDescent="0.2">
      <c r="A21" s="118" t="str">
        <f>'t1'!A21</f>
        <v>CONTRATTISTI</v>
      </c>
      <c r="B21" s="92" t="str">
        <f>'t1'!B21</f>
        <v>000061</v>
      </c>
      <c r="C21" s="313">
        <f>'t11'!Y23+'t11'!Z23</f>
        <v>0</v>
      </c>
      <c r="D21" s="313">
        <f>'t1'!K21+'t1'!L21</f>
        <v>0</v>
      </c>
      <c r="E21" s="313">
        <f>'t3'!K21+'t3'!L21+'t3'!M21+'t3'!N21+'t3'!O21+'t3'!P21</f>
        <v>0</v>
      </c>
      <c r="F21" s="313">
        <f>'t4'!S30</f>
        <v>0</v>
      </c>
      <c r="G21" s="311">
        <f>'t4'!$R$31</f>
        <v>0</v>
      </c>
      <c r="H21" s="313">
        <f>'t5'!U22+'t5'!V22</f>
        <v>0</v>
      </c>
      <c r="I21" s="333" t="str">
        <f>IF(AND(J21="OK",K21="OK"),"OK","ERRORE")</f>
        <v>OK</v>
      </c>
      <c r="J21" s="333" t="str">
        <f t="shared" si="2"/>
        <v>OK</v>
      </c>
      <c r="K21" s="333" t="str">
        <f t="shared" si="3"/>
        <v>OK</v>
      </c>
      <c r="L21" s="559" t="str">
        <f t="shared" si="1"/>
        <v/>
      </c>
    </row>
  </sheetData>
  <sheetProtection algorithmName="SHA-512" hashValue="Mx2GYsHAIak2NmGVeM4d/fg/Yq4QogGeflyadOGvTrx5UBHSgnIZCQTW4PBm5aUhLjIIcJejIsMg3wDrnhl15A==" saltValue="YT9QTt/y4vfEq2FQ7r3oiQ==" spinCount="100000" sheet="1" formatColumns="0" selectLockedCells="1" selectUnlockedCells="1"/>
  <mergeCells count="2">
    <mergeCell ref="A1:K1"/>
    <mergeCell ref="D2:K2"/>
  </mergeCells>
  <phoneticPr fontId="30" type="noConversion"/>
  <conditionalFormatting sqref="I6:I21">
    <cfRule type="notContainsText" dxfId="3" priority="1" stopIfTrue="1" operator="notContains" text="ok">
      <formula>ISERROR(SEARCH("ok",I6))</formula>
    </cfRule>
  </conditionalFormatting>
  <printOptions horizontalCentered="1"/>
  <pageMargins left="0.19685039370078741" right="0.19685039370078741" top="0.19685039370078741" bottom="0.15748031496062992" header="0.15748031496062992" footer="0.15748031496062992"/>
  <pageSetup paperSize="9" scale="75" orientation="landscape" horizontalDpi="0" verticalDpi="0"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Foglio33"/>
  <dimension ref="A1:M21"/>
  <sheetViews>
    <sheetView showGridLines="0" workbookViewId="0">
      <pane xSplit="2" ySplit="5" topLeftCell="C6" activePane="bottomRight" state="frozen"/>
      <selection pane="topRight" activeCell="C1" sqref="C1"/>
      <selection pane="bottomLeft" activeCell="A6" sqref="A6"/>
      <selection pane="bottomRight" activeCell="B5" sqref="B5"/>
    </sheetView>
  </sheetViews>
  <sheetFormatPr defaultRowHeight="11.25" x14ac:dyDescent="0.2"/>
  <cols>
    <col min="1" max="1" width="38.6640625" style="3" customWidth="1"/>
    <col min="2" max="2" width="10" style="2" customWidth="1"/>
    <col min="3" max="4" width="17.6640625" style="2" customWidth="1"/>
    <col min="5" max="5" width="16.33203125" style="2" customWidth="1"/>
    <col min="6" max="6" width="15.6640625" style="95" customWidth="1"/>
    <col min="7" max="7" width="18.33203125" style="95" customWidth="1"/>
    <col min="8" max="8" width="16.33203125" style="2" customWidth="1"/>
    <col min="9" max="9" width="15.6640625" style="95" customWidth="1"/>
    <col min="10" max="10" width="18.33203125" style="2" customWidth="1"/>
  </cols>
  <sheetData>
    <row r="1" spans="1:13" s="3" customFormat="1" ht="43.5" customHeight="1" x14ac:dyDescent="0.2">
      <c r="A1" s="1447" t="str">
        <f>'t1'!A1</f>
        <v>ENTI PUBBLICI NON ECONOMICI - anno 2024</v>
      </c>
      <c r="B1" s="1447"/>
      <c r="C1" s="1447"/>
      <c r="D1" s="1447"/>
      <c r="E1" s="1447"/>
      <c r="F1" s="1447"/>
      <c r="G1" s="1447"/>
      <c r="H1" s="1447"/>
      <c r="I1" s="1447"/>
      <c r="J1" s="1447"/>
      <c r="M1"/>
    </row>
    <row r="2" spans="1:13" s="3" customFormat="1" ht="12.75" customHeight="1" x14ac:dyDescent="0.2">
      <c r="D2" s="1537"/>
      <c r="E2" s="1537"/>
      <c r="F2" s="1537"/>
      <c r="G2" s="1537"/>
      <c r="H2" s="1537"/>
      <c r="I2" s="1537"/>
      <c r="J2" s="1537"/>
      <c r="M2"/>
    </row>
    <row r="3" spans="1:13" s="3" customFormat="1" ht="21" customHeight="1" x14ac:dyDescent="0.25">
      <c r="A3" s="173" t="s">
        <v>385</v>
      </c>
      <c r="B3" s="2"/>
      <c r="C3" s="2"/>
    </row>
    <row r="4" spans="1:13" ht="33.75" x14ac:dyDescent="0.15">
      <c r="A4" s="160" t="s">
        <v>218</v>
      </c>
      <c r="B4" s="161" t="s">
        <v>180</v>
      </c>
      <c r="C4" s="514" t="s">
        <v>278</v>
      </c>
      <c r="D4" s="161" t="s">
        <v>285</v>
      </c>
      <c r="E4" s="514" t="s">
        <v>378</v>
      </c>
      <c r="F4" s="514" t="s">
        <v>384</v>
      </c>
      <c r="G4" s="161" t="s">
        <v>330</v>
      </c>
      <c r="H4" s="514" t="s">
        <v>379</v>
      </c>
      <c r="I4" s="514" t="s">
        <v>384</v>
      </c>
      <c r="J4" s="514" t="s">
        <v>380</v>
      </c>
    </row>
    <row r="5" spans="1:13" s="176" customFormat="1" ht="10.5" x14ac:dyDescent="0.15">
      <c r="A5" s="159"/>
      <c r="B5" s="171"/>
      <c r="C5" s="171" t="s">
        <v>182</v>
      </c>
      <c r="D5" s="171" t="s">
        <v>183</v>
      </c>
      <c r="E5" s="171" t="s">
        <v>376</v>
      </c>
      <c r="F5" s="171" t="s">
        <v>382</v>
      </c>
      <c r="G5" s="171" t="s">
        <v>186</v>
      </c>
      <c r="H5" s="171" t="s">
        <v>377</v>
      </c>
      <c r="I5" s="171" t="s">
        <v>383</v>
      </c>
      <c r="J5" s="171"/>
    </row>
    <row r="6" spans="1:13" ht="12.75" x14ac:dyDescent="0.2">
      <c r="A6" s="118" t="str">
        <f>'t1'!A6</f>
        <v>DIRETTORE GENERALE</v>
      </c>
      <c r="B6" s="92" t="str">
        <f>'t1'!B6</f>
        <v>0D0097</v>
      </c>
      <c r="C6" s="313">
        <f>'t13'!V6</f>
        <v>0</v>
      </c>
      <c r="D6" s="313">
        <f>'t13'!S6</f>
        <v>0</v>
      </c>
      <c r="E6" s="315" t="str">
        <f>IF($C6=0," ",IF(D6=0," ",D6/$C6))</f>
        <v xml:space="preserve"> </v>
      </c>
      <c r="F6" s="295" t="str">
        <f>IF($C6=0," ",IF(D6=0," ",IF(E6&gt;0.2,"ERRORE","OK")))</f>
        <v xml:space="preserve"> </v>
      </c>
      <c r="G6" s="313">
        <f>'t13'!T6</f>
        <v>0</v>
      </c>
      <c r="H6" s="315" t="str">
        <f>IF($C6=0," ",IF(G6=0," ",G6/$C6))</f>
        <v xml:space="preserve"> </v>
      </c>
      <c r="I6" s="295" t="str">
        <f>IF($C6=0," ",IF(G6=0," ",IF(H6&gt;0.2,"ERRORE","OK")))</f>
        <v xml:space="preserve"> </v>
      </c>
      <c r="J6" s="333" t="str">
        <f>IF(OR(F6="ERRORE",I6="ERRORE"),"ERRORE","OK")</f>
        <v>OK</v>
      </c>
    </row>
    <row r="7" spans="1:13" ht="12.75" x14ac:dyDescent="0.2">
      <c r="A7" s="118" t="str">
        <f>'t1'!A7</f>
        <v>DIRIGENTE I FASCIA</v>
      </c>
      <c r="B7" s="92" t="str">
        <f>'t1'!B7</f>
        <v>0D0077</v>
      </c>
      <c r="C7" s="313">
        <f>'t13'!V7</f>
        <v>0</v>
      </c>
      <c r="D7" s="313">
        <f>'t13'!S7</f>
        <v>0</v>
      </c>
      <c r="E7" s="315" t="str">
        <f t="shared" ref="E7:E16" si="0">IF($C7=0," ",IF(D7=0," ",D7/$C7))</f>
        <v xml:space="preserve"> </v>
      </c>
      <c r="F7" s="295" t="str">
        <f t="shared" ref="F7:F16" si="1">IF($C7=0," ",IF(D7=0," ",IF(E7&gt;0.2,"ERRORE","OK")))</f>
        <v xml:space="preserve"> </v>
      </c>
      <c r="G7" s="313">
        <f>'t13'!T7</f>
        <v>0</v>
      </c>
      <c r="H7" s="315" t="str">
        <f t="shared" ref="H7:H16" si="2">IF($C7=0," ",IF(G7=0," ",G7/$C7))</f>
        <v xml:space="preserve"> </v>
      </c>
      <c r="I7" s="295" t="str">
        <f t="shared" ref="I7:I16" si="3">IF($C7=0," ",IF(G7=0," ",IF(H7&gt;0.2,"ERRORE","OK")))</f>
        <v xml:space="preserve"> </v>
      </c>
      <c r="J7" s="333" t="str">
        <f t="shared" ref="J7:J16" si="4">IF(OR(F7="ERRORE",I7="ERRORE"),"ERRORE","OK")</f>
        <v>OK</v>
      </c>
    </row>
    <row r="8" spans="1:13" ht="12.75" x14ac:dyDescent="0.2">
      <c r="A8" s="118" t="str">
        <f>'t1'!A8</f>
        <v>DIRIGENTE I FASCIA A TEMPO DETERM.</v>
      </c>
      <c r="B8" s="92" t="str">
        <f>'t1'!B8</f>
        <v>0D0078</v>
      </c>
      <c r="C8" s="313">
        <f>'t13'!V8</f>
        <v>0</v>
      </c>
      <c r="D8" s="313">
        <f>'t13'!S8</f>
        <v>0</v>
      </c>
      <c r="E8" s="315" t="str">
        <f t="shared" si="0"/>
        <v xml:space="preserve"> </v>
      </c>
      <c r="F8" s="295" t="str">
        <f t="shared" si="1"/>
        <v xml:space="preserve"> </v>
      </c>
      <c r="G8" s="313">
        <f>'t13'!T8</f>
        <v>0</v>
      </c>
      <c r="H8" s="315" t="str">
        <f t="shared" si="2"/>
        <v xml:space="preserve"> </v>
      </c>
      <c r="I8" s="295" t="str">
        <f t="shared" si="3"/>
        <v xml:space="preserve"> </v>
      </c>
      <c r="J8" s="333" t="str">
        <f t="shared" si="4"/>
        <v>OK</v>
      </c>
    </row>
    <row r="9" spans="1:13" ht="12.75" x14ac:dyDescent="0.2">
      <c r="A9" s="118" t="str">
        <f>'t1'!A9</f>
        <v>DIRIGENTE II FASCIA</v>
      </c>
      <c r="B9" s="92" t="str">
        <f>'t1'!B9</f>
        <v>0D0079</v>
      </c>
      <c r="C9" s="313">
        <f>'t13'!V9</f>
        <v>0</v>
      </c>
      <c r="D9" s="313">
        <f>'t13'!S9</f>
        <v>0</v>
      </c>
      <c r="E9" s="315" t="str">
        <f t="shared" si="0"/>
        <v xml:space="preserve"> </v>
      </c>
      <c r="F9" s="295" t="str">
        <f t="shared" si="1"/>
        <v xml:space="preserve"> </v>
      </c>
      <c r="G9" s="313">
        <f>'t13'!T9</f>
        <v>0</v>
      </c>
      <c r="H9" s="315" t="str">
        <f t="shared" si="2"/>
        <v xml:space="preserve"> </v>
      </c>
      <c r="I9" s="295" t="str">
        <f t="shared" si="3"/>
        <v xml:space="preserve"> </v>
      </c>
      <c r="J9" s="333" t="str">
        <f t="shared" si="4"/>
        <v>OK</v>
      </c>
    </row>
    <row r="10" spans="1:13" ht="12.75" x14ac:dyDescent="0.2">
      <c r="A10" s="118" t="str">
        <f>'t1'!A10</f>
        <v>DIRIGENTE II FASCIA A TEMPO DETERM.</v>
      </c>
      <c r="B10" s="92" t="str">
        <f>'t1'!B10</f>
        <v>0D0080</v>
      </c>
      <c r="C10" s="313">
        <f>'t13'!V10</f>
        <v>0</v>
      </c>
      <c r="D10" s="313">
        <f>'t13'!S10</f>
        <v>0</v>
      </c>
      <c r="E10" s="315" t="str">
        <f t="shared" si="0"/>
        <v xml:space="preserve"> </v>
      </c>
      <c r="F10" s="295" t="str">
        <f t="shared" si="1"/>
        <v xml:space="preserve"> </v>
      </c>
      <c r="G10" s="313">
        <f>'t13'!T10</f>
        <v>0</v>
      </c>
      <c r="H10" s="315" t="str">
        <f t="shared" si="2"/>
        <v xml:space="preserve"> </v>
      </c>
      <c r="I10" s="295" t="str">
        <f t="shared" si="3"/>
        <v xml:space="preserve"> </v>
      </c>
      <c r="J10" s="333" t="str">
        <f t="shared" si="4"/>
        <v>OK</v>
      </c>
    </row>
    <row r="11" spans="1:13" ht="12.75" x14ac:dyDescent="0.2">
      <c r="A11" s="118" t="str">
        <f>'t1'!A11</f>
        <v>MEDICO II FASCIA T.P.</v>
      </c>
      <c r="B11" s="92" t="str">
        <f>'t1'!B11</f>
        <v>0D0584</v>
      </c>
      <c r="C11" s="313">
        <f>'t13'!V11</f>
        <v>0</v>
      </c>
      <c r="D11" s="313">
        <f>'t13'!S11</f>
        <v>0</v>
      </c>
      <c r="E11" s="315" t="str">
        <f t="shared" si="0"/>
        <v xml:space="preserve"> </v>
      </c>
      <c r="F11" s="295" t="str">
        <f t="shared" si="1"/>
        <v xml:space="preserve"> </v>
      </c>
      <c r="G11" s="313">
        <f>'t13'!T11</f>
        <v>0</v>
      </c>
      <c r="H11" s="315" t="str">
        <f t="shared" si="2"/>
        <v xml:space="preserve"> </v>
      </c>
      <c r="I11" s="295" t="str">
        <f t="shared" si="3"/>
        <v xml:space="preserve"> </v>
      </c>
      <c r="J11" s="333" t="str">
        <f t="shared" si="4"/>
        <v>OK</v>
      </c>
    </row>
    <row r="12" spans="1:13" ht="12.75" x14ac:dyDescent="0.2">
      <c r="A12" s="118" t="str">
        <f>'t1'!A12</f>
        <v>MEDICO I FASCIA T.P.</v>
      </c>
      <c r="B12" s="92" t="str">
        <f>'t1'!B12</f>
        <v>0D0585</v>
      </c>
      <c r="C12" s="313">
        <f>'t13'!V12</f>
        <v>0</v>
      </c>
      <c r="D12" s="313">
        <f>'t13'!S12</f>
        <v>0</v>
      </c>
      <c r="E12" s="315" t="str">
        <f t="shared" si="0"/>
        <v xml:space="preserve"> </v>
      </c>
      <c r="F12" s="295" t="str">
        <f t="shared" si="1"/>
        <v xml:space="preserve"> </v>
      </c>
      <c r="G12" s="313">
        <f>'t13'!T12</f>
        <v>0</v>
      </c>
      <c r="H12" s="315" t="str">
        <f t="shared" si="2"/>
        <v xml:space="preserve"> </v>
      </c>
      <c r="I12" s="295" t="str">
        <f t="shared" si="3"/>
        <v xml:space="preserve"> </v>
      </c>
      <c r="J12" s="333" t="str">
        <f t="shared" si="4"/>
        <v>OK</v>
      </c>
    </row>
    <row r="13" spans="1:13" ht="12.75" x14ac:dyDescent="0.2">
      <c r="A13" s="118" t="str">
        <f>'t1'!A13</f>
        <v>MEDICO II FASCIA T.D.</v>
      </c>
      <c r="B13" s="92" t="str">
        <f>'t1'!B13</f>
        <v>0D0586</v>
      </c>
      <c r="C13" s="313">
        <f>'t13'!V13</f>
        <v>0</v>
      </c>
      <c r="D13" s="313">
        <f>'t13'!S13</f>
        <v>0</v>
      </c>
      <c r="E13" s="315" t="str">
        <f t="shared" si="0"/>
        <v xml:space="preserve"> </v>
      </c>
      <c r="F13" s="295" t="str">
        <f t="shared" si="1"/>
        <v xml:space="preserve"> </v>
      </c>
      <c r="G13" s="313">
        <f>'t13'!T13</f>
        <v>0</v>
      </c>
      <c r="H13" s="315" t="str">
        <f t="shared" si="2"/>
        <v xml:space="preserve"> </v>
      </c>
      <c r="I13" s="295" t="str">
        <f t="shared" si="3"/>
        <v xml:space="preserve"> </v>
      </c>
      <c r="J13" s="333" t="str">
        <f t="shared" si="4"/>
        <v>OK</v>
      </c>
    </row>
    <row r="14" spans="1:13" ht="12.75" x14ac:dyDescent="0.2">
      <c r="A14" s="118" t="str">
        <f>'t1'!A14</f>
        <v>MEDICO I FASCIA T.D.</v>
      </c>
      <c r="B14" s="92" t="str">
        <f>'t1'!B14</f>
        <v>0D0496</v>
      </c>
      <c r="C14" s="313">
        <f>'t13'!V14</f>
        <v>0</v>
      </c>
      <c r="D14" s="313">
        <f>'t13'!S14</f>
        <v>0</v>
      </c>
      <c r="E14" s="315" t="str">
        <f t="shared" si="0"/>
        <v xml:space="preserve"> </v>
      </c>
      <c r="F14" s="295" t="str">
        <f t="shared" si="1"/>
        <v xml:space="preserve"> </v>
      </c>
      <c r="G14" s="313">
        <f>'t13'!T14</f>
        <v>0</v>
      </c>
      <c r="H14" s="315" t="str">
        <f t="shared" si="2"/>
        <v xml:space="preserve"> </v>
      </c>
      <c r="I14" s="295" t="str">
        <f t="shared" si="3"/>
        <v xml:space="preserve"> </v>
      </c>
      <c r="J14" s="333" t="str">
        <f t="shared" si="4"/>
        <v>OK</v>
      </c>
    </row>
    <row r="15" spans="1:13" ht="12.75" x14ac:dyDescent="0.2">
      <c r="A15" s="118" t="str">
        <f>'t1'!A15</f>
        <v>PROFESSIONISTI II LIVELLO</v>
      </c>
      <c r="B15" s="92" t="str">
        <f>'t1'!B15</f>
        <v>0D0PR2</v>
      </c>
      <c r="C15" s="313">
        <f>'t13'!V15</f>
        <v>0</v>
      </c>
      <c r="D15" s="313">
        <f>'t13'!S15</f>
        <v>0</v>
      </c>
      <c r="E15" s="315" t="str">
        <f t="shared" si="0"/>
        <v xml:space="preserve"> </v>
      </c>
      <c r="F15" s="295" t="str">
        <f t="shared" si="1"/>
        <v xml:space="preserve"> </v>
      </c>
      <c r="G15" s="313">
        <f>'t13'!T15</f>
        <v>0</v>
      </c>
      <c r="H15" s="315" t="str">
        <f t="shared" si="2"/>
        <v xml:space="preserve"> </v>
      </c>
      <c r="I15" s="295" t="str">
        <f t="shared" si="3"/>
        <v xml:space="preserve"> </v>
      </c>
      <c r="J15" s="333" t="str">
        <f t="shared" si="4"/>
        <v>OK</v>
      </c>
    </row>
    <row r="16" spans="1:13" ht="12.75" x14ac:dyDescent="0.2">
      <c r="A16" s="118" t="str">
        <f>'t1'!A16</f>
        <v>PROFESSIONISTI I LIVELLO</v>
      </c>
      <c r="B16" s="92" t="str">
        <f>'t1'!B16</f>
        <v>0D0PR1</v>
      </c>
      <c r="C16" s="313">
        <f>'t13'!V16</f>
        <v>0</v>
      </c>
      <c r="D16" s="313">
        <f>'t13'!S16</f>
        <v>0</v>
      </c>
      <c r="E16" s="315" t="str">
        <f t="shared" si="0"/>
        <v xml:space="preserve"> </v>
      </c>
      <c r="F16" s="295" t="str">
        <f t="shared" si="1"/>
        <v xml:space="preserve"> </v>
      </c>
      <c r="G16" s="313">
        <f>'t13'!T16</f>
        <v>0</v>
      </c>
      <c r="H16" s="315" t="str">
        <f t="shared" si="2"/>
        <v xml:space="preserve"> </v>
      </c>
      <c r="I16" s="295" t="str">
        <f t="shared" si="3"/>
        <v xml:space="preserve"> </v>
      </c>
      <c r="J16" s="333" t="str">
        <f t="shared" si="4"/>
        <v>OK</v>
      </c>
    </row>
    <row r="17" spans="1:10" ht="12.75" x14ac:dyDescent="0.2">
      <c r="A17" s="118" t="str">
        <f>'t1'!A17</f>
        <v>ELEVATE PROFESSIONALITA'</v>
      </c>
      <c r="B17" s="92" t="str">
        <f>'t1'!B17</f>
        <v>0EP981</v>
      </c>
      <c r="C17" s="313">
        <f>'t13'!V17</f>
        <v>0</v>
      </c>
      <c r="D17" s="313">
        <f>'t13'!S17</f>
        <v>0</v>
      </c>
      <c r="E17" s="315" t="str">
        <f>IF($C17=0," ",IF(D17=0," ",D17/$C17))</f>
        <v xml:space="preserve"> </v>
      </c>
      <c r="F17" s="295" t="str">
        <f>IF($C17=0," ",IF(D17=0," ",IF(E17&gt;0.2,"ERRORE","OK")))</f>
        <v xml:space="preserve"> </v>
      </c>
      <c r="G17" s="313">
        <f>'t13'!T17</f>
        <v>0</v>
      </c>
      <c r="H17" s="315" t="str">
        <f>IF($C17=0," ",IF(G17=0," ",G17/$C17))</f>
        <v xml:space="preserve"> </v>
      </c>
      <c r="I17" s="295" t="str">
        <f>IF($C17=0," ",IF(G17=0," ",IF(H17&gt;0.2,"ERRORE","OK")))</f>
        <v xml:space="preserve"> </v>
      </c>
      <c r="J17" s="333" t="str">
        <f>IF(OR(F17="ERRORE",I17="ERRORE"),"ERRORE","OK")</f>
        <v>OK</v>
      </c>
    </row>
    <row r="18" spans="1:10" ht="12.75" x14ac:dyDescent="0.2">
      <c r="A18" s="118" t="str">
        <f>'t1'!A18</f>
        <v>FUNZIONARI</v>
      </c>
      <c r="B18" s="92" t="str">
        <f>'t1'!B18</f>
        <v>0FZ000</v>
      </c>
      <c r="C18" s="313">
        <f>'t13'!V18</f>
        <v>0</v>
      </c>
      <c r="D18" s="313">
        <f>'t13'!S18</f>
        <v>0</v>
      </c>
      <c r="E18" s="315" t="str">
        <f>IF($C18=0," ",IF(D18=0," ",D18/$C18))</f>
        <v xml:space="preserve"> </v>
      </c>
      <c r="F18" s="295" t="str">
        <f>IF($C18=0," ",IF(D18=0," ",IF(E18&gt;0.2,"ERRORE","OK")))</f>
        <v xml:space="preserve"> </v>
      </c>
      <c r="G18" s="313">
        <f>'t13'!T18</f>
        <v>0</v>
      </c>
      <c r="H18" s="315" t="str">
        <f>IF($C18=0," ",IF(G18=0," ",G18/$C18))</f>
        <v xml:space="preserve"> </v>
      </c>
      <c r="I18" s="295" t="str">
        <f>IF($C18=0," ",IF(G18=0," ",IF(H18&gt;0.2,"ERRORE","OK")))</f>
        <v xml:space="preserve"> </v>
      </c>
      <c r="J18" s="333" t="str">
        <f>IF(OR(F18="ERRORE",I18="ERRORE"),"ERRORE","OK")</f>
        <v>OK</v>
      </c>
    </row>
    <row r="19" spans="1:10" ht="12.75" x14ac:dyDescent="0.2">
      <c r="A19" s="118" t="str">
        <f>'t1'!A19</f>
        <v>ASSISTENTI</v>
      </c>
      <c r="B19" s="92" t="str">
        <f>'t1'!B19</f>
        <v>0AS000</v>
      </c>
      <c r="C19" s="313">
        <f>'t13'!V19</f>
        <v>3804</v>
      </c>
      <c r="D19" s="313">
        <f>'t13'!S19</f>
        <v>0</v>
      </c>
      <c r="E19" s="315" t="str">
        <f>IF($C19=0," ",IF(D19=0," ",D19/$C19))</f>
        <v xml:space="preserve"> </v>
      </c>
      <c r="F19" s="295" t="str">
        <f>IF($C19=0," ",IF(D19=0," ",IF(E19&gt;0.2,"ERRORE","OK")))</f>
        <v xml:space="preserve"> </v>
      </c>
      <c r="G19" s="313">
        <f>'t13'!T19</f>
        <v>181</v>
      </c>
      <c r="H19" s="315">
        <f>IF($C19=0," ",IF(G19=0," ",G19/$C19))</f>
        <v>4.7600000000000003E-2</v>
      </c>
      <c r="I19" s="295" t="str">
        <f>IF($C19=0," ",IF(G19=0," ",IF(H19&gt;0.2,"ERRORE","OK")))</f>
        <v>OK</v>
      </c>
      <c r="J19" s="333" t="str">
        <f>IF(OR(F19="ERRORE",I19="ERRORE"),"ERRORE","OK")</f>
        <v>OK</v>
      </c>
    </row>
    <row r="20" spans="1:10" ht="12.75" x14ac:dyDescent="0.2">
      <c r="A20" s="118" t="str">
        <f>'t1'!A20</f>
        <v>OPERATORI</v>
      </c>
      <c r="B20" s="92" t="str">
        <f>'t1'!B20</f>
        <v>0OP000</v>
      </c>
      <c r="C20" s="313">
        <f>'t13'!V20</f>
        <v>0</v>
      </c>
      <c r="D20" s="313">
        <f>'t13'!S20</f>
        <v>0</v>
      </c>
      <c r="E20" s="315" t="str">
        <f>IF($C20=0," ",IF(D20=0," ",D20/$C20))</f>
        <v xml:space="preserve"> </v>
      </c>
      <c r="F20" s="295" t="str">
        <f>IF($C20=0," ",IF(D20=0," ",IF(E20&gt;0.2,"ERRORE","OK")))</f>
        <v xml:space="preserve"> </v>
      </c>
      <c r="G20" s="313">
        <f>'t13'!T20</f>
        <v>0</v>
      </c>
      <c r="H20" s="315" t="str">
        <f>IF($C20=0," ",IF(G20=0," ",G20/$C20))</f>
        <v xml:space="preserve"> </v>
      </c>
      <c r="I20" s="295" t="str">
        <f>IF($C20=0," ",IF(G20=0," ",IF(H20&gt;0.2,"ERRORE","OK")))</f>
        <v xml:space="preserve"> </v>
      </c>
      <c r="J20" s="333" t="str">
        <f>IF(OR(F20="ERRORE",I20="ERRORE"),"ERRORE","OK")</f>
        <v>OK</v>
      </c>
    </row>
    <row r="21" spans="1:10" ht="12.75" x14ac:dyDescent="0.2">
      <c r="A21" s="118" t="str">
        <f>'t1'!A21</f>
        <v>CONTRATTISTI</v>
      </c>
      <c r="B21" s="92" t="str">
        <f>'t1'!B21</f>
        <v>000061</v>
      </c>
      <c r="C21" s="313">
        <f>'t13'!V21</f>
        <v>0</v>
      </c>
      <c r="D21" s="313">
        <f>'t13'!S21</f>
        <v>0</v>
      </c>
      <c r="E21" s="315" t="str">
        <f>IF($C21=0," ",IF(D21=0," ",D21/$C21))</f>
        <v xml:space="preserve"> </v>
      </c>
      <c r="F21" s="295" t="str">
        <f>IF($C21=0," ",IF(D21=0," ",IF(E21&gt;0.2,"ERRORE","OK")))</f>
        <v xml:space="preserve"> </v>
      </c>
      <c r="G21" s="313">
        <f>'t13'!T21</f>
        <v>0</v>
      </c>
      <c r="H21" s="315" t="str">
        <f>IF($C21=0," ",IF(G21=0," ",G21/$C21))</f>
        <v xml:space="preserve"> </v>
      </c>
      <c r="I21" s="295" t="str">
        <f>IF($C21=0," ",IF(G21=0," ",IF(H21&gt;0.2,"ERRORE","OK")))</f>
        <v xml:space="preserve"> </v>
      </c>
      <c r="J21" s="333" t="str">
        <f>IF(OR(F21="ERRORE",I21="ERRORE"),"ERRORE","OK")</f>
        <v>OK</v>
      </c>
    </row>
  </sheetData>
  <sheetProtection algorithmName="SHA-512" hashValue="SW7Dtx/2a3xNd8dXr4Gry+G7jnoz9trJW3Xjso3RBNMOggxmHMwh3RR8a1fCgFGOD4K66WmTTyrpcJWEToihag==" saltValue="e3idzLyXAgarSmS5FvHMjA==" spinCount="100000" sheet="1" formatColumns="0" selectLockedCells="1" selectUnlockedCells="1"/>
  <mergeCells count="2">
    <mergeCell ref="A1:J1"/>
    <mergeCell ref="D2:J2"/>
  </mergeCells>
  <printOptions horizontalCentered="1"/>
  <pageMargins left="0.23622047244094491" right="0.23622047244094491" top="0.19685039370078741" bottom="0.15748031496062992" header="0.15748031496062992" footer="0.15748031496062992"/>
  <pageSetup paperSize="9" scale="85" orientation="landscape" horizontalDpi="0" verticalDpi="0"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Foglio3"/>
  <dimension ref="A1:L16"/>
  <sheetViews>
    <sheetView showGridLines="0" workbookViewId="0">
      <selection activeCell="A5" sqref="A5"/>
    </sheetView>
  </sheetViews>
  <sheetFormatPr defaultRowHeight="11.25" x14ac:dyDescent="0.2"/>
  <cols>
    <col min="1" max="1" width="37.6640625" style="3" customWidth="1"/>
    <col min="2" max="2" width="8.5" style="2" hidden="1" customWidth="1"/>
    <col min="3" max="5" width="12.6640625" style="3" customWidth="1"/>
    <col min="6" max="6" width="1.6640625" style="3" customWidth="1"/>
    <col min="7" max="9" width="12.6640625" style="475" customWidth="1"/>
    <col min="10" max="10" width="1.6640625" customWidth="1"/>
    <col min="11" max="12" width="14.6640625" customWidth="1"/>
  </cols>
  <sheetData>
    <row r="1" spans="1:12" ht="32.65" customHeight="1" x14ac:dyDescent="0.15">
      <c r="A1" s="1625" t="str">
        <f>'t1'!A1</f>
        <v>ENTI PUBBLICI NON ECONOMICI - anno 2024</v>
      </c>
      <c r="B1" s="1625"/>
      <c r="C1" s="1625"/>
      <c r="D1" s="1625"/>
      <c r="E1" s="1625"/>
      <c r="F1" s="1625"/>
      <c r="G1" s="1625"/>
      <c r="H1" s="1625"/>
      <c r="I1" s="1625"/>
      <c r="J1" s="1625"/>
      <c r="K1" s="1625"/>
    </row>
    <row r="2" spans="1:12" ht="42" customHeight="1" thickBot="1" x14ac:dyDescent="0.25">
      <c r="A2" s="1626" t="s">
        <v>581</v>
      </c>
      <c r="B2" s="1626"/>
      <c r="C2" s="1626"/>
      <c r="D2" s="1626"/>
      <c r="E2" s="1626"/>
      <c r="F2" s="1626"/>
      <c r="G2" s="1626"/>
      <c r="H2" s="1626"/>
      <c r="I2" s="1626"/>
      <c r="J2" s="1626"/>
      <c r="K2" s="1626"/>
      <c r="L2" s="1626"/>
    </row>
    <row r="3" spans="1:12" ht="30.6" customHeight="1" thickBot="1" x14ac:dyDescent="0.2">
      <c r="A3" s="671" t="s">
        <v>89</v>
      </c>
      <c r="B3" s="672" t="s">
        <v>57</v>
      </c>
      <c r="C3" s="1627" t="s">
        <v>582</v>
      </c>
      <c r="D3" s="1628"/>
      <c r="E3" s="1629"/>
      <c r="F3" s="673"/>
      <c r="G3" s="1630" t="s">
        <v>583</v>
      </c>
      <c r="H3" s="1631"/>
      <c r="I3" s="1632"/>
      <c r="K3" s="1630" t="s">
        <v>584</v>
      </c>
      <c r="L3" s="1632"/>
    </row>
    <row r="4" spans="1:12" ht="12.75" x14ac:dyDescent="0.2">
      <c r="A4" s="674"/>
      <c r="B4" s="675"/>
      <c r="C4" s="676" t="s">
        <v>58</v>
      </c>
      <c r="D4" s="677" t="s">
        <v>59</v>
      </c>
      <c r="E4" s="678" t="s">
        <v>585</v>
      </c>
      <c r="F4" s="679"/>
      <c r="G4" s="676" t="s">
        <v>58</v>
      </c>
      <c r="H4" s="677" t="s">
        <v>59</v>
      </c>
      <c r="I4" s="678" t="s">
        <v>585</v>
      </c>
      <c r="J4" s="176"/>
      <c r="K4" s="676" t="s">
        <v>58</v>
      </c>
      <c r="L4" s="678" t="s">
        <v>59</v>
      </c>
    </row>
    <row r="5" spans="1:12" ht="12.75" x14ac:dyDescent="0.2">
      <c r="A5" s="680"/>
      <c r="B5" s="681"/>
      <c r="C5" s="682" t="s">
        <v>182</v>
      </c>
      <c r="D5" s="556" t="s">
        <v>183</v>
      </c>
      <c r="E5" s="683" t="s">
        <v>184</v>
      </c>
      <c r="F5" s="684"/>
      <c r="G5" s="685" t="s">
        <v>185</v>
      </c>
      <c r="H5" s="556" t="s">
        <v>186</v>
      </c>
      <c r="I5" s="683" t="s">
        <v>206</v>
      </c>
      <c r="K5" s="685" t="s">
        <v>586</v>
      </c>
      <c r="L5" s="683" t="s">
        <v>587</v>
      </c>
    </row>
    <row r="6" spans="1:12" ht="12.75" x14ac:dyDescent="0.2">
      <c r="A6" s="686" t="str">
        <f>'t2'!A6</f>
        <v>MEDICI</v>
      </c>
      <c r="B6" s="661" t="str">
        <f>'t2'!B6</f>
        <v>MD</v>
      </c>
      <c r="C6" s="687">
        <f>'t2'!C6</f>
        <v>0</v>
      </c>
      <c r="D6" s="688">
        <f>'t2'!D6</f>
        <v>0</v>
      </c>
      <c r="E6" s="689">
        <f t="shared" ref="E6:E13" si="0">SUM(C6:D6)</f>
        <v>0</v>
      </c>
      <c r="F6" s="684"/>
      <c r="G6" s="690">
        <f>t2A!D12+t2A!F12+t2A!H12+t2A!J12+t2A!L12+t2A!N12+t2A!P12+t2A!R12</f>
        <v>0</v>
      </c>
      <c r="H6" s="691">
        <f>t2A!E12+t2A!G12+t2A!I12+t2A!K12+t2A!M12+t2A!O12+t2A!Q12+t2A!S12</f>
        <v>0</v>
      </c>
      <c r="I6" s="692">
        <f t="shared" ref="I6:I13" si="1">SUM(G6:H6)</f>
        <v>0</v>
      </c>
      <c r="K6" s="693" t="str">
        <f t="shared" ref="K6:L9" si="2">IF(C6&gt;0,IF(G6&gt;0,"OK","Manca T2A"),IF(C6=0,IF(G6=0,"OK","Manca T2"),"orrore"))</f>
        <v>OK</v>
      </c>
      <c r="L6" s="694" t="str">
        <f t="shared" si="2"/>
        <v>OK</v>
      </c>
    </row>
    <row r="7" spans="1:12" ht="12.75" x14ac:dyDescent="0.2">
      <c r="A7" s="686" t="str">
        <f>'t2'!A7</f>
        <v>PROFESSIONISTI</v>
      </c>
      <c r="B7" s="661" t="str">
        <f>'t2'!B7</f>
        <v>AP</v>
      </c>
      <c r="C7" s="687">
        <f>'t2'!C7</f>
        <v>0</v>
      </c>
      <c r="D7" s="688">
        <f>'t2'!D7</f>
        <v>0</v>
      </c>
      <c r="E7" s="689">
        <f t="shared" si="0"/>
        <v>0</v>
      </c>
      <c r="F7" s="684"/>
      <c r="G7" s="690">
        <f>t2A!D13+t2A!F13+t2A!H13+t2A!J13+t2A!L13+t2A!N13+t2A!P13+t2A!R13</f>
        <v>0</v>
      </c>
      <c r="H7" s="691">
        <f>t2A!E13+t2A!G13+t2A!I13+t2A!K13+t2A!M13+t2A!O13+t2A!Q13+t2A!S13</f>
        <v>0</v>
      </c>
      <c r="I7" s="692">
        <f t="shared" si="1"/>
        <v>0</v>
      </c>
      <c r="K7" s="693" t="str">
        <f t="shared" si="2"/>
        <v>OK</v>
      </c>
      <c r="L7" s="694" t="str">
        <f t="shared" si="2"/>
        <v>OK</v>
      </c>
    </row>
    <row r="8" spans="1:12" ht="12.75" x14ac:dyDescent="0.2">
      <c r="A8" s="686" t="str">
        <f>'t2'!A8</f>
        <v>PERSONALE ELEVATE PROFESSIONALITA</v>
      </c>
      <c r="B8" s="661" t="str">
        <f>'t2'!B8</f>
        <v>EP</v>
      </c>
      <c r="C8" s="687">
        <f>'t2'!C8</f>
        <v>0</v>
      </c>
      <c r="D8" s="688">
        <f>'t2'!D8</f>
        <v>0</v>
      </c>
      <c r="E8" s="689">
        <f t="shared" si="0"/>
        <v>0</v>
      </c>
      <c r="F8" s="684"/>
      <c r="G8" s="690">
        <f>t2A!D14+t2A!F14+t2A!H14+t2A!J14+t2A!L14+t2A!N14+t2A!P14+t2A!R14</f>
        <v>0</v>
      </c>
      <c r="H8" s="691">
        <f>t2A!E14+t2A!G14+t2A!I14+t2A!K14+t2A!M14+t2A!O14+t2A!Q14+t2A!S14</f>
        <v>0</v>
      </c>
      <c r="I8" s="692">
        <f t="shared" si="1"/>
        <v>0</v>
      </c>
      <c r="K8" s="693" t="str">
        <f t="shared" si="2"/>
        <v>OK</v>
      </c>
      <c r="L8" s="694" t="str">
        <f t="shared" si="2"/>
        <v>OK</v>
      </c>
    </row>
    <row r="9" spans="1:12" ht="12.75" x14ac:dyDescent="0.2">
      <c r="A9" s="686" t="str">
        <f>'t2'!A9</f>
        <v>FUNZIONARI</v>
      </c>
      <c r="B9" s="661" t="str">
        <f>'t2'!B9</f>
        <v>FU</v>
      </c>
      <c r="C9" s="687">
        <f>'t2'!C9</f>
        <v>0</v>
      </c>
      <c r="D9" s="688">
        <f>'t2'!D9</f>
        <v>0</v>
      </c>
      <c r="E9" s="689">
        <f t="shared" si="0"/>
        <v>0</v>
      </c>
      <c r="F9" s="684"/>
      <c r="G9" s="690">
        <f>t2A!D15+t2A!F15+t2A!H15+t2A!J15+t2A!L15+t2A!N15+t2A!P15+t2A!R15</f>
        <v>0</v>
      </c>
      <c r="H9" s="691">
        <f>t2A!E15+t2A!G15+t2A!I15+t2A!K15+t2A!M15+t2A!O15+t2A!Q15+t2A!S15</f>
        <v>0</v>
      </c>
      <c r="I9" s="692">
        <f t="shared" si="1"/>
        <v>0</v>
      </c>
      <c r="K9" s="693" t="str">
        <f t="shared" si="2"/>
        <v>OK</v>
      </c>
      <c r="L9" s="694" t="str">
        <f t="shared" si="2"/>
        <v>OK</v>
      </c>
    </row>
    <row r="10" spans="1:12" ht="12.75" x14ac:dyDescent="0.2">
      <c r="A10" s="686" t="str">
        <f>'t2'!A10</f>
        <v>ASSISTENTI</v>
      </c>
      <c r="B10" s="661" t="str">
        <f>'t2'!B10</f>
        <v>AT</v>
      </c>
      <c r="C10" s="687">
        <f>'t2'!C10</f>
        <v>0</v>
      </c>
      <c r="D10" s="688">
        <f>'t2'!D10</f>
        <v>0</v>
      </c>
      <c r="E10" s="689">
        <f>SUM(C10:D10)</f>
        <v>0</v>
      </c>
      <c r="F10" s="684"/>
      <c r="G10" s="690">
        <f>t2A!D16+t2A!F16+t2A!H16+t2A!J16+t2A!L16+t2A!N16+t2A!P16+t2A!R16</f>
        <v>0</v>
      </c>
      <c r="H10" s="691">
        <f>t2A!E16+t2A!G16+t2A!I16+t2A!K16+t2A!M16+t2A!O16+t2A!Q16+t2A!S16</f>
        <v>0</v>
      </c>
      <c r="I10" s="692">
        <f>SUM(G10:H10)</f>
        <v>0</v>
      </c>
      <c r="K10" s="693" t="str">
        <f t="shared" ref="K10:L12" si="3">IF(C10&gt;0,IF(G10&gt;0,"OK","Manca T2A"),IF(C10=0,IF(G10=0,"OK","Manca T2"),"orrore"))</f>
        <v>OK</v>
      </c>
      <c r="L10" s="694" t="str">
        <f t="shared" si="3"/>
        <v>OK</v>
      </c>
    </row>
    <row r="11" spans="1:12" ht="12.75" x14ac:dyDescent="0.2">
      <c r="A11" s="686" t="str">
        <f>'t2'!A11</f>
        <v>OPERATORI</v>
      </c>
      <c r="B11" s="661" t="str">
        <f>'t2'!B11</f>
        <v>OP</v>
      </c>
      <c r="C11" s="687">
        <f>'t2'!C11</f>
        <v>0</v>
      </c>
      <c r="D11" s="688">
        <f>'t2'!D11</f>
        <v>0</v>
      </c>
      <c r="E11" s="689">
        <f>SUM(C11:D11)</f>
        <v>0</v>
      </c>
      <c r="F11" s="684"/>
      <c r="G11" s="690">
        <f>t2A!D17+t2A!F17+t2A!H17+t2A!J17+t2A!L17+t2A!N17+t2A!P17+t2A!R17</f>
        <v>0</v>
      </c>
      <c r="H11" s="691">
        <f>t2A!E17+t2A!G17+t2A!I17+t2A!K17+t2A!M17+t2A!O17+t2A!Q17+t2A!S17</f>
        <v>0</v>
      </c>
      <c r="I11" s="692">
        <f>SUM(G11:H11)</f>
        <v>0</v>
      </c>
      <c r="K11" s="693" t="str">
        <f t="shared" si="3"/>
        <v>OK</v>
      </c>
      <c r="L11" s="694" t="str">
        <f t="shared" si="3"/>
        <v>OK</v>
      </c>
    </row>
    <row r="12" spans="1:12" ht="13.5" thickBot="1" x14ac:dyDescent="0.25">
      <c r="A12" s="686" t="str">
        <f>'t2'!A12</f>
        <v>PERSONALE CONTRATTISTA</v>
      </c>
      <c r="B12" s="661" t="str">
        <f>'t2'!B12</f>
        <v>PC</v>
      </c>
      <c r="C12" s="687">
        <f>'t2'!C12</f>
        <v>0</v>
      </c>
      <c r="D12" s="688">
        <f>'t2'!D12</f>
        <v>0</v>
      </c>
      <c r="E12" s="689">
        <f>SUM(C12:D12)</f>
        <v>0</v>
      </c>
      <c r="F12" s="684"/>
      <c r="G12" s="690">
        <f>t2A!D18+t2A!F18+t2A!H18+t2A!J18+t2A!L18+t2A!N18+t2A!P18+t2A!R18</f>
        <v>0</v>
      </c>
      <c r="H12" s="691">
        <f>t2A!E18+t2A!G18+t2A!I18+t2A!K18+t2A!M18+t2A!O18+t2A!Q18+t2A!S18</f>
        <v>0</v>
      </c>
      <c r="I12" s="692">
        <f>SUM(G12:H12)</f>
        <v>0</v>
      </c>
      <c r="K12" s="693" t="str">
        <f t="shared" si="3"/>
        <v>OK</v>
      </c>
      <c r="L12" s="694" t="str">
        <f t="shared" si="3"/>
        <v>OK</v>
      </c>
    </row>
    <row r="13" spans="1:12" ht="13.5" thickBot="1" x14ac:dyDescent="0.25">
      <c r="A13" s="695" t="s">
        <v>60</v>
      </c>
      <c r="B13" s="696"/>
      <c r="C13" s="697">
        <f>SUM(C6:C12)</f>
        <v>0</v>
      </c>
      <c r="D13" s="698">
        <f>SUM(D6:D12)</f>
        <v>0</v>
      </c>
      <c r="E13" s="699">
        <f t="shared" si="0"/>
        <v>0</v>
      </c>
      <c r="G13" s="700">
        <f>SUM(G6:G12)</f>
        <v>0</v>
      </c>
      <c r="H13" s="701">
        <f>SUM(H6:H12)</f>
        <v>0</v>
      </c>
      <c r="I13" s="702">
        <f t="shared" si="1"/>
        <v>0</v>
      </c>
      <c r="K13" s="703" t="str">
        <f>IF(COUNTIF(K6:K12,"OK")=7,"OK","Errore")</f>
        <v>OK</v>
      </c>
      <c r="L13" s="704" t="str">
        <f>IF(COUNTIF(L6:L12,"OK")=7,"OK","Errore")</f>
        <v>OK</v>
      </c>
    </row>
    <row r="14" spans="1:12" x14ac:dyDescent="0.2">
      <c r="A14" s="6"/>
    </row>
    <row r="16" spans="1:12" ht="12.75" x14ac:dyDescent="0.2">
      <c r="A16" s="1624" t="str">
        <f>IF('t2'!$AK$3=1,"La squadratura non viene calcolata perché sulla Tabella 2 è stato segnalato che il personale è cessato al 31/12","")</f>
        <v/>
      </c>
      <c r="B16" s="1624"/>
      <c r="C16" s="1624"/>
      <c r="D16" s="1624"/>
      <c r="E16" s="1624"/>
      <c r="F16" s="1624"/>
      <c r="G16" s="1624"/>
      <c r="H16" s="1624"/>
      <c r="I16" s="1624"/>
      <c r="J16" s="1624"/>
      <c r="K16" s="1624"/>
      <c r="L16" s="1624"/>
    </row>
  </sheetData>
  <sheetProtection algorithmName="SHA-512" hashValue="cUj95uFi8C3upffe8gwVyLSwyn10X3LtC0g8doZ0YlJ5f/CNYx+ztOnwvN/RGyDQPA3+NQBSlkeocIkUoTdEfg==" saltValue="zncvOL5xvLsGeLprx8hCuQ==" spinCount="100000" sheet="1" formatColumns="0" selectLockedCells="1" selectUnlockedCells="1"/>
  <mergeCells count="6">
    <mergeCell ref="A16:L16"/>
    <mergeCell ref="A1:K1"/>
    <mergeCell ref="A2:L2"/>
    <mergeCell ref="C3:E3"/>
    <mergeCell ref="G3:I3"/>
    <mergeCell ref="K3:L3"/>
  </mergeCells>
  <dataValidations count="1">
    <dataValidation type="whole" allowBlank="1" showInputMessage="1" showErrorMessage="1" errorTitle="ERRORE" error="INSERIRE SOLO NUMERI INTERI COMPRESI TRA 0 E 9999999" sqref="G6:H13" xr:uid="{00000000-0002-0000-2B00-000000000000}">
      <formula1>0</formula1>
      <formula2>9999999</formula2>
    </dataValidation>
  </dataValidations>
  <pageMargins left="0.7" right="0.7" top="0.75" bottom="0.75" header="0.3" footer="0.3"/>
  <pageSetup paperSize="9"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Foglio42"/>
  <dimension ref="A1:M20"/>
  <sheetViews>
    <sheetView showGridLines="0" topLeftCell="A7" workbookViewId="0">
      <selection activeCell="E3" sqref="E3"/>
    </sheetView>
  </sheetViews>
  <sheetFormatPr defaultColWidth="9.33203125" defaultRowHeight="11.25" x14ac:dyDescent="0.2"/>
  <cols>
    <col min="1" max="1" width="78.6640625" style="3" customWidth="1"/>
    <col min="2" max="3" width="19.6640625" style="3" customWidth="1"/>
    <col min="4" max="4" width="26.6640625" style="3" customWidth="1"/>
    <col min="5" max="5" width="25.1640625" style="3" customWidth="1"/>
    <col min="6" max="16384" width="9.33203125" style="3"/>
  </cols>
  <sheetData>
    <row r="1" spans="1:13" ht="34.35" customHeight="1" x14ac:dyDescent="0.2">
      <c r="A1" s="1447" t="str">
        <f>'t1'!A1</f>
        <v>ENTI PUBBLICI NON ECONOMICI - anno 2024</v>
      </c>
      <c r="B1" s="1447"/>
      <c r="C1" s="1447"/>
      <c r="D1" s="1447"/>
      <c r="E1" s="608"/>
      <c r="F1" s="288"/>
      <c r="G1" s="288"/>
      <c r="H1" s="288"/>
      <c r="I1" s="288"/>
      <c r="M1"/>
    </row>
    <row r="2" spans="1:13" ht="16.5" thickBot="1" x14ac:dyDescent="0.25">
      <c r="A2" s="1636" t="s">
        <v>892</v>
      </c>
      <c r="B2" s="1636"/>
      <c r="C2" s="1636"/>
      <c r="D2" s="1636"/>
      <c r="E2" s="289"/>
      <c r="F2" s="289"/>
      <c r="G2" s="289"/>
      <c r="H2" s="289"/>
      <c r="I2" s="289"/>
      <c r="M2"/>
    </row>
    <row r="3" spans="1:13" ht="33" customHeight="1" thickBot="1" x14ac:dyDescent="0.3">
      <c r="A3" s="1633" t="s">
        <v>614</v>
      </c>
      <c r="B3" s="1634"/>
      <c r="C3" s="1634"/>
      <c r="D3" s="1635"/>
      <c r="E3" s="629"/>
    </row>
    <row r="4" spans="1:13" s="174" customFormat="1" ht="32.25" thickBot="1" x14ac:dyDescent="0.2">
      <c r="A4" s="561" t="s">
        <v>519</v>
      </c>
      <c r="B4" s="562" t="s">
        <v>520</v>
      </c>
      <c r="C4" s="562" t="s">
        <v>521</v>
      </c>
      <c r="D4" s="563" t="s">
        <v>522</v>
      </c>
    </row>
    <row r="5" spans="1:13" ht="39" customHeight="1" x14ac:dyDescent="0.2">
      <c r="A5" s="630" t="str">
        <f>SI_1!B85</f>
        <v>Non compilare</v>
      </c>
      <c r="B5" s="631">
        <f>SI_1!G85</f>
        <v>0</v>
      </c>
      <c r="C5" s="631">
        <f>'t1'!K22+'t1'!L22</f>
        <v>1</v>
      </c>
      <c r="D5" s="759" t="str">
        <f>IF(B5&lt;=C5,"OK","Dati incoerenti: controllare i valori")</f>
        <v>OK</v>
      </c>
    </row>
    <row r="6" spans="1:13" ht="39" customHeight="1" x14ac:dyDescent="0.2">
      <c r="A6" s="632" t="str">
        <f>SI_1!B106</f>
        <v>Indicare il numero delle unita rilevate in tabella 1 che risultavano titolari di permessi per legge n. 104/92.</v>
      </c>
      <c r="B6" s="633">
        <f>SI_1!G106</f>
        <v>0</v>
      </c>
      <c r="C6" s="633">
        <f>'t1'!K22+'t1'!L22</f>
        <v>1</v>
      </c>
      <c r="D6" s="760" t="str">
        <f>IF(B6&lt;=C6,"OK","Dati incoerenti: controllare i valori")</f>
        <v>OK</v>
      </c>
    </row>
    <row r="7" spans="1:13" ht="39" customHeight="1" thickBot="1" x14ac:dyDescent="0.25">
      <c r="A7" s="634" t="str">
        <f>SI_1!B109</f>
        <v>Indicare il numero delle unita rilevate in tabella 1 che risultavano titolari di permessi ai sensi dell'art. 42, c.5 D.lgs.151/2001.</v>
      </c>
      <c r="B7" s="635">
        <f>SI_1!G109</f>
        <v>0</v>
      </c>
      <c r="C7" s="635">
        <f>'t1'!K22+'t1'!L22</f>
        <v>1</v>
      </c>
      <c r="D7" s="758" t="str">
        <f>IF(B7&lt;=C7,"OK","Dati incoerenti: controllare i valori")</f>
        <v>OK</v>
      </c>
    </row>
    <row r="10" spans="1:13" ht="16.5" thickBot="1" x14ac:dyDescent="0.25">
      <c r="A10" s="755" t="s">
        <v>615</v>
      </c>
      <c r="B10" s="754"/>
      <c r="C10" s="754"/>
      <c r="D10" s="754"/>
      <c r="E10" s="289"/>
      <c r="F10" s="289"/>
      <c r="G10" s="289"/>
      <c r="H10" s="289"/>
      <c r="I10" s="289"/>
      <c r="M10"/>
    </row>
    <row r="11" spans="1:13" ht="32.65" customHeight="1" thickBot="1" x14ac:dyDescent="0.3">
      <c r="A11" s="1633" t="s">
        <v>616</v>
      </c>
      <c r="B11" s="1634"/>
      <c r="C11" s="1634"/>
      <c r="D11" s="1635"/>
      <c r="E11" s="629"/>
    </row>
    <row r="12" spans="1:13" s="174" customFormat="1" ht="21.75" thickBot="1" x14ac:dyDescent="0.2">
      <c r="A12" s="636" t="s">
        <v>519</v>
      </c>
      <c r="B12" s="637" t="s">
        <v>520</v>
      </c>
      <c r="C12" s="637" t="s">
        <v>523</v>
      </c>
      <c r="D12" s="638" t="s">
        <v>524</v>
      </c>
    </row>
    <row r="13" spans="1:13" ht="39" customHeight="1" x14ac:dyDescent="0.2">
      <c r="A13" s="639" t="str">
        <f>SI_1!B106</f>
        <v>Indicare il numero delle unita rilevate in tabella 1 che risultavano titolari di permessi per legge n. 104/92.</v>
      </c>
      <c r="B13" s="640">
        <f>SI_1!G106</f>
        <v>0</v>
      </c>
      <c r="C13" s="641">
        <f>'t11'!K24+'t11'!L24</f>
        <v>0</v>
      </c>
      <c r="D13" s="757" t="str">
        <f>(IF(AND(C13=0,B13&gt;0),"Mancano le assenze per questa causale",IF(AND(C13&gt;0,B13=0),"Dichiarare Unita nella domanda della Scheda Informativa 1","OK")))</f>
        <v>OK</v>
      </c>
    </row>
    <row r="14" spans="1:13" ht="39" customHeight="1" thickBot="1" x14ac:dyDescent="0.25">
      <c r="A14" s="642" t="str">
        <f>SI_1!B109</f>
        <v>Indicare il numero delle unita rilevate in tabella 1 che risultavano titolari di permessi ai sensi dell'art. 42, c.5 D.lgs.151/2001.</v>
      </c>
      <c r="B14" s="635">
        <f>SI_1!G109</f>
        <v>0</v>
      </c>
      <c r="C14" s="643">
        <f>'t11'!I24+'t11'!J24</f>
        <v>0</v>
      </c>
      <c r="D14" s="758" t="str">
        <f>(IF(AND(C14=0,B14&gt;0),"Mancano le assenze per questa causale",IF(AND(C14&gt;0,B14=0),"Dichiarare Unita nella domanda della Scheda Informativa 1","OK")))</f>
        <v>OK</v>
      </c>
    </row>
    <row r="17" spans="1:13" ht="13.35" customHeight="1" thickBot="1" x14ac:dyDescent="0.3">
      <c r="A17" s="756" t="s">
        <v>617</v>
      </c>
      <c r="B17" s="754"/>
      <c r="C17" s="754"/>
      <c r="D17" s="754"/>
      <c r="E17" s="289"/>
      <c r="F17" s="289"/>
      <c r="G17" s="289"/>
      <c r="H17" s="289"/>
      <c r="I17" s="289"/>
      <c r="M17"/>
    </row>
    <row r="18" spans="1:13" ht="31.35" customHeight="1" thickBot="1" x14ac:dyDescent="0.3">
      <c r="A18" s="1633" t="s">
        <v>618</v>
      </c>
      <c r="B18" s="1634"/>
      <c r="C18" s="1634"/>
      <c r="D18" s="1635"/>
      <c r="E18" s="629"/>
    </row>
    <row r="19" spans="1:13" ht="21.75" thickBot="1" x14ac:dyDescent="0.25">
      <c r="A19" s="636" t="s">
        <v>519</v>
      </c>
      <c r="B19" s="637" t="s">
        <v>598</v>
      </c>
      <c r="C19" s="637" t="s">
        <v>523</v>
      </c>
      <c r="D19" s="638" t="s">
        <v>524</v>
      </c>
    </row>
    <row r="20" spans="1:13" ht="38.1" customHeight="1" thickBot="1" x14ac:dyDescent="0.25">
      <c r="A20" s="642" t="s">
        <v>454</v>
      </c>
      <c r="B20" s="640">
        <f>SI_1!G82</f>
        <v>73</v>
      </c>
      <c r="C20" s="641">
        <f>'t11'!E24+'t11'!F24</f>
        <v>2</v>
      </c>
      <c r="D20" s="757" t="str">
        <f>(IF(AND(C20=0,B20&gt;0),"Mancano le assenze per questa causale",IF(AND(C20&gt;0,B20=0),"Dichiarare Somme nella domanda della Scheda Informativa 1","OK")))</f>
        <v>OK</v>
      </c>
    </row>
  </sheetData>
  <sheetProtection password="DD41" sheet="1" formatColumns="0" selectLockedCells="1" selectUnlockedCells="1"/>
  <mergeCells count="5">
    <mergeCell ref="A1:D1"/>
    <mergeCell ref="A3:D3"/>
    <mergeCell ref="A11:D11"/>
    <mergeCell ref="A18:D18"/>
    <mergeCell ref="A2:D2"/>
  </mergeCells>
  <conditionalFormatting sqref="D5:D7 D13:D14 D20">
    <cfRule type="notContainsText" dxfId="2" priority="1" stopIfTrue="1" operator="notContains" text="ok">
      <formula>ISERROR(SEARCH("ok",D5))</formula>
    </cfRule>
  </conditionalFormatting>
  <printOptions horizontalCentered="1" verticalCentered="1"/>
  <pageMargins left="0" right="0" top="0.19685039370078741" bottom="0.31496062992125984" header="0.51181102362204722" footer="0.51181102362204722"/>
  <pageSetup paperSize="9" scale="90" orientation="landscape" horizontalDpi="300" verticalDpi="4294967292" r:id="rId1"/>
  <headerFooter alignWithMargins="0"/>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Foglio44">
    <pageSetUpPr fitToPage="1"/>
  </sheetPr>
  <dimension ref="A1:K21"/>
  <sheetViews>
    <sheetView showGridLines="0" workbookViewId="0">
      <pane xSplit="2" ySplit="5" topLeftCell="C12" activePane="bottomRight" state="frozen"/>
      <selection activeCell="A2" sqref="A2"/>
      <selection pane="topRight" activeCell="A2" sqref="A2"/>
      <selection pane="bottomLeft" activeCell="A2" sqref="A2"/>
      <selection pane="bottomRight" activeCell="B2" sqref="B2"/>
    </sheetView>
  </sheetViews>
  <sheetFormatPr defaultRowHeight="11.25" x14ac:dyDescent="0.2"/>
  <cols>
    <col min="1" max="1" width="41.5" style="3" customWidth="1"/>
    <col min="2" max="2" width="10" style="2" customWidth="1"/>
    <col min="3" max="3" width="11.6640625" style="2" customWidth="1"/>
    <col min="4" max="5" width="14" style="2" customWidth="1"/>
    <col min="6" max="6" width="11.6640625" style="2" customWidth="1"/>
    <col min="7" max="7" width="13.6640625" style="2" customWidth="1"/>
    <col min="8" max="8" width="16.6640625" style="2" hidden="1" customWidth="1"/>
    <col min="9" max="9" width="63.33203125" customWidth="1"/>
  </cols>
  <sheetData>
    <row r="1" spans="1:11" s="3" customFormat="1" ht="43.5" customHeight="1" x14ac:dyDescent="0.2">
      <c r="A1" s="1447" t="str">
        <f>'t1'!A1</f>
        <v>ENTI PUBBLICI NON ECONOMICI - anno 2024</v>
      </c>
      <c r="B1" s="1447"/>
      <c r="C1" s="1447"/>
      <c r="D1" s="1447"/>
      <c r="E1" s="1447"/>
      <c r="F1" s="1447"/>
      <c r="G1" s="1447"/>
      <c r="H1" s="1447"/>
      <c r="I1" s="1447"/>
      <c r="K1"/>
    </row>
    <row r="2" spans="1:11" s="3" customFormat="1" ht="12.75" customHeight="1" x14ac:dyDescent="0.2">
      <c r="D2" s="1537"/>
      <c r="E2" s="1537"/>
      <c r="F2" s="1537"/>
      <c r="G2" s="1537"/>
      <c r="H2" s="512"/>
      <c r="K2"/>
    </row>
    <row r="3" spans="1:11" s="3" customFormat="1" ht="44.1" customHeight="1" x14ac:dyDescent="0.25">
      <c r="A3" s="1637" t="s">
        <v>620</v>
      </c>
      <c r="B3" s="1637"/>
      <c r="C3" s="1637"/>
      <c r="D3" s="1637"/>
      <c r="E3" s="1637"/>
      <c r="F3" s="1637"/>
      <c r="G3" s="1637"/>
      <c r="H3" s="1637"/>
      <c r="I3" s="1637"/>
    </row>
    <row r="4" spans="1:11" ht="67.5" x14ac:dyDescent="0.15">
      <c r="A4" s="513" t="s">
        <v>218</v>
      </c>
      <c r="B4" s="514" t="s">
        <v>180</v>
      </c>
      <c r="C4" s="514" t="s">
        <v>37</v>
      </c>
      <c r="D4" s="514" t="s">
        <v>621</v>
      </c>
      <c r="E4" s="514" t="s">
        <v>622</v>
      </c>
      <c r="F4" s="514" t="s">
        <v>39</v>
      </c>
      <c r="G4" s="514" t="s">
        <v>623</v>
      </c>
      <c r="H4" s="514" t="s">
        <v>406</v>
      </c>
      <c r="I4" s="514" t="s">
        <v>391</v>
      </c>
    </row>
    <row r="5" spans="1:11" s="176" customFormat="1" ht="56.25" hidden="1" x14ac:dyDescent="0.15">
      <c r="A5" s="159"/>
      <c r="B5" s="171"/>
      <c r="C5" s="171" t="s">
        <v>182</v>
      </c>
      <c r="D5" s="171"/>
      <c r="E5" s="171"/>
      <c r="F5" s="171" t="s">
        <v>184</v>
      </c>
      <c r="G5" s="171"/>
      <c r="H5" s="556" t="s">
        <v>510</v>
      </c>
      <c r="I5" s="558"/>
    </row>
    <row r="6" spans="1:11" ht="12.75" x14ac:dyDescent="0.2">
      <c r="A6" s="118" t="str">
        <f>'t1'!A6</f>
        <v>DIRETTORE GENERALE</v>
      </c>
      <c r="B6" s="92" t="str">
        <f>'t1'!B6</f>
        <v>0D0097</v>
      </c>
      <c r="C6" s="761">
        <f>'t11'!Y8+'t11'!Z8</f>
        <v>0</v>
      </c>
      <c r="D6" s="761">
        <f>(C6-'t11'!S8-'t11'!T8-'t11'!U8-'t11'!V8-'t11'!W8-'t11'!X8)</f>
        <v>0</v>
      </c>
      <c r="E6" s="824">
        <f>'t12'!C6/12</f>
        <v>0</v>
      </c>
      <c r="F6" s="761">
        <f>'t3'!K6+'t3'!L6+'t3'!M6+'t3'!N6+'t3'!O6+'t3'!P6</f>
        <v>0</v>
      </c>
      <c r="G6" s="333" t="str">
        <f t="shared" ref="G6:G21" si="0">IF(H6="OK","OK","ERRORE")</f>
        <v>OK</v>
      </c>
      <c r="H6" s="333" t="str">
        <f t="shared" ref="H6:H21" si="1">IF(((E6+F6)*273)&lt;(D6),"KO","OK")</f>
        <v>OK</v>
      </c>
      <c r="I6" s="559" t="str">
        <f>IF(H6="KO",($H$5&amp;(('t12'!C6/12*273)+(('t3'!K6+'t3'!L6+'t3'!M6+'t3'!N6+'t3'!O6+'t3'!P6)*273))&amp;")"),"")</f>
        <v/>
      </c>
    </row>
    <row r="7" spans="1:11" ht="12.75" x14ac:dyDescent="0.2">
      <c r="A7" s="118" t="str">
        <f>'t1'!A7</f>
        <v>DIRIGENTE I FASCIA</v>
      </c>
      <c r="B7" s="92" t="str">
        <f>'t1'!B7</f>
        <v>0D0077</v>
      </c>
      <c r="C7" s="761">
        <f>'t11'!Y9+'t11'!Z9</f>
        <v>0</v>
      </c>
      <c r="D7" s="761">
        <f>(C7-'t11'!S9-'t11'!T9-'t11'!U9-'t11'!V9-'t11'!W9-'t11'!X9)</f>
        <v>0</v>
      </c>
      <c r="E7" s="824">
        <f>'t12'!C7/12</f>
        <v>0</v>
      </c>
      <c r="F7" s="761">
        <f>'t3'!K7+'t3'!L7+'t3'!M7+'t3'!N7+'t3'!O7+'t3'!P7</f>
        <v>0</v>
      </c>
      <c r="G7" s="333" t="str">
        <f t="shared" si="0"/>
        <v>OK</v>
      </c>
      <c r="H7" s="333" t="str">
        <f t="shared" si="1"/>
        <v>OK</v>
      </c>
      <c r="I7" s="559" t="str">
        <f>IF(H7="KO",($H$5&amp;(('t12'!C7/12*273)+(('t3'!K7+'t3'!L7+'t3'!M7+'t3'!N7+'t3'!O7+'t3'!P7)*273))&amp;")"),"")</f>
        <v/>
      </c>
    </row>
    <row r="8" spans="1:11" ht="12.75" x14ac:dyDescent="0.2">
      <c r="A8" s="118" t="str">
        <f>'t1'!A8</f>
        <v>DIRIGENTE I FASCIA A TEMPO DETERM.</v>
      </c>
      <c r="B8" s="92" t="str">
        <f>'t1'!B8</f>
        <v>0D0078</v>
      </c>
      <c r="C8" s="761">
        <f>'t11'!Y10+'t11'!Z10</f>
        <v>0</v>
      </c>
      <c r="D8" s="761">
        <f>(C8-'t11'!S10-'t11'!T10-'t11'!U10-'t11'!V10-'t11'!W10-'t11'!X10)</f>
        <v>0</v>
      </c>
      <c r="E8" s="824">
        <f>'t12'!C8/12</f>
        <v>0</v>
      </c>
      <c r="F8" s="761">
        <f>'t3'!K8+'t3'!L8+'t3'!M8+'t3'!N8+'t3'!O8+'t3'!P8</f>
        <v>0</v>
      </c>
      <c r="G8" s="333" t="str">
        <f t="shared" si="0"/>
        <v>OK</v>
      </c>
      <c r="H8" s="333" t="str">
        <f t="shared" si="1"/>
        <v>OK</v>
      </c>
      <c r="I8" s="559" t="str">
        <f>IF(H8="KO",($H$5&amp;(('t12'!C8/12*273)+(('t3'!K8+'t3'!L8+'t3'!M8+'t3'!N8+'t3'!O8+'t3'!P8)*273))&amp;")"),"")</f>
        <v/>
      </c>
    </row>
    <row r="9" spans="1:11" ht="12.75" x14ac:dyDescent="0.2">
      <c r="A9" s="118" t="str">
        <f>'t1'!A9</f>
        <v>DIRIGENTE II FASCIA</v>
      </c>
      <c r="B9" s="92" t="str">
        <f>'t1'!B9</f>
        <v>0D0079</v>
      </c>
      <c r="C9" s="761">
        <f>'t11'!Y11+'t11'!Z11</f>
        <v>0</v>
      </c>
      <c r="D9" s="761">
        <f>(C9-'t11'!S11-'t11'!T11-'t11'!U11-'t11'!V11-'t11'!W11-'t11'!X11)</f>
        <v>0</v>
      </c>
      <c r="E9" s="824">
        <f>'t12'!C9/12</f>
        <v>0</v>
      </c>
      <c r="F9" s="761">
        <f>'t3'!K9+'t3'!L9+'t3'!M9+'t3'!N9+'t3'!O9+'t3'!P9</f>
        <v>0</v>
      </c>
      <c r="G9" s="333" t="str">
        <f t="shared" si="0"/>
        <v>OK</v>
      </c>
      <c r="H9" s="333" t="str">
        <f t="shared" si="1"/>
        <v>OK</v>
      </c>
      <c r="I9" s="559" t="str">
        <f>IF(H9="KO",($H$5&amp;(('t12'!C9/12*273)+(('t3'!K9+'t3'!L9+'t3'!M9+'t3'!N9+'t3'!O9+'t3'!P9)*273))&amp;")"),"")</f>
        <v/>
      </c>
    </row>
    <row r="10" spans="1:11" ht="12.75" x14ac:dyDescent="0.2">
      <c r="A10" s="118" t="str">
        <f>'t1'!A10</f>
        <v>DIRIGENTE II FASCIA A TEMPO DETERM.</v>
      </c>
      <c r="B10" s="92" t="str">
        <f>'t1'!B10</f>
        <v>0D0080</v>
      </c>
      <c r="C10" s="761">
        <f>'t11'!Y12+'t11'!Z12</f>
        <v>0</v>
      </c>
      <c r="D10" s="761">
        <f>(C10-'t11'!S12-'t11'!T12-'t11'!U12-'t11'!V12-'t11'!W12-'t11'!X12)</f>
        <v>0</v>
      </c>
      <c r="E10" s="824">
        <f>'t12'!C10/12</f>
        <v>0</v>
      </c>
      <c r="F10" s="761">
        <f>'t3'!K10+'t3'!L10+'t3'!M10+'t3'!N10+'t3'!O10+'t3'!P10</f>
        <v>0</v>
      </c>
      <c r="G10" s="333" t="str">
        <f t="shared" si="0"/>
        <v>OK</v>
      </c>
      <c r="H10" s="333" t="str">
        <f t="shared" si="1"/>
        <v>OK</v>
      </c>
      <c r="I10" s="559" t="str">
        <f>IF(H10="KO",($H$5&amp;(('t12'!C10/12*273)+(('t3'!K10+'t3'!L10+'t3'!M10+'t3'!N10+'t3'!O10+'t3'!P10)*273))&amp;")"),"")</f>
        <v/>
      </c>
    </row>
    <row r="11" spans="1:11" ht="12.75" x14ac:dyDescent="0.2">
      <c r="A11" s="118" t="str">
        <f>'t1'!A11</f>
        <v>MEDICO II FASCIA T.P.</v>
      </c>
      <c r="B11" s="92" t="str">
        <f>'t1'!B11</f>
        <v>0D0584</v>
      </c>
      <c r="C11" s="761">
        <f>'t11'!Y13+'t11'!Z13</f>
        <v>0</v>
      </c>
      <c r="D11" s="761">
        <f>(C11-'t11'!S13-'t11'!T13-'t11'!U13-'t11'!V13-'t11'!W13-'t11'!X13)</f>
        <v>0</v>
      </c>
      <c r="E11" s="824">
        <f>'t12'!C11/12</f>
        <v>0</v>
      </c>
      <c r="F11" s="761">
        <f>'t3'!K11+'t3'!L11+'t3'!M11+'t3'!N11+'t3'!O11+'t3'!P11</f>
        <v>0</v>
      </c>
      <c r="G11" s="333" t="str">
        <f t="shared" si="0"/>
        <v>OK</v>
      </c>
      <c r="H11" s="333" t="str">
        <f t="shared" si="1"/>
        <v>OK</v>
      </c>
      <c r="I11" s="559" t="str">
        <f>IF(H11="KO",($H$5&amp;(('t12'!C11/12*273)+(('t3'!K11+'t3'!L11+'t3'!M11+'t3'!N11+'t3'!O11+'t3'!P11)*273))&amp;")"),"")</f>
        <v/>
      </c>
    </row>
    <row r="12" spans="1:11" ht="12.75" x14ac:dyDescent="0.2">
      <c r="A12" s="118" t="str">
        <f>'t1'!A12</f>
        <v>MEDICO I FASCIA T.P.</v>
      </c>
      <c r="B12" s="92" t="str">
        <f>'t1'!B12</f>
        <v>0D0585</v>
      </c>
      <c r="C12" s="761">
        <f>'t11'!Y14+'t11'!Z14</f>
        <v>0</v>
      </c>
      <c r="D12" s="761">
        <f>(C12-'t11'!S14-'t11'!T14-'t11'!U14-'t11'!V14-'t11'!W14-'t11'!X14)</f>
        <v>0</v>
      </c>
      <c r="E12" s="824">
        <f>'t12'!C12/12</f>
        <v>0</v>
      </c>
      <c r="F12" s="761">
        <f>'t3'!K12+'t3'!L12+'t3'!M12+'t3'!N12+'t3'!O12+'t3'!P12</f>
        <v>0</v>
      </c>
      <c r="G12" s="333" t="str">
        <f t="shared" si="0"/>
        <v>OK</v>
      </c>
      <c r="H12" s="333" t="str">
        <f t="shared" si="1"/>
        <v>OK</v>
      </c>
      <c r="I12" s="559" t="str">
        <f>IF(H12="KO",($H$5&amp;(('t12'!C12/12*273)+(('t3'!K12+'t3'!L12+'t3'!M12+'t3'!N12+'t3'!O12+'t3'!P12)*273))&amp;")"),"")</f>
        <v/>
      </c>
    </row>
    <row r="13" spans="1:11" ht="12.75" x14ac:dyDescent="0.2">
      <c r="A13" s="118" t="str">
        <f>'t1'!A13</f>
        <v>MEDICO II FASCIA T.D.</v>
      </c>
      <c r="B13" s="92" t="str">
        <f>'t1'!B13</f>
        <v>0D0586</v>
      </c>
      <c r="C13" s="761">
        <f>'t11'!Y15+'t11'!Z15</f>
        <v>0</v>
      </c>
      <c r="D13" s="761">
        <f>(C13-'t11'!S15-'t11'!T15-'t11'!U15-'t11'!V15-'t11'!W15-'t11'!X15)</f>
        <v>0</v>
      </c>
      <c r="E13" s="824">
        <f>'t12'!C13/12</f>
        <v>0</v>
      </c>
      <c r="F13" s="761">
        <f>'t3'!K13+'t3'!L13+'t3'!M13+'t3'!N13+'t3'!O13+'t3'!P13</f>
        <v>0</v>
      </c>
      <c r="G13" s="333" t="str">
        <f t="shared" si="0"/>
        <v>OK</v>
      </c>
      <c r="H13" s="333" t="str">
        <f t="shared" si="1"/>
        <v>OK</v>
      </c>
      <c r="I13" s="559" t="str">
        <f>IF(H13="KO",($H$5&amp;(('t12'!C13/12*273)+(('t3'!K13+'t3'!L13+'t3'!M13+'t3'!N13+'t3'!O13+'t3'!P13)*273))&amp;")"),"")</f>
        <v/>
      </c>
    </row>
    <row r="14" spans="1:11" ht="12.75" x14ac:dyDescent="0.2">
      <c r="A14" s="118" t="str">
        <f>'t1'!A14</f>
        <v>MEDICO I FASCIA T.D.</v>
      </c>
      <c r="B14" s="92" t="str">
        <f>'t1'!B14</f>
        <v>0D0496</v>
      </c>
      <c r="C14" s="761">
        <f>'t11'!Y16+'t11'!Z16</f>
        <v>0</v>
      </c>
      <c r="D14" s="761">
        <f>(C14-'t11'!S16-'t11'!T16-'t11'!U16-'t11'!V16-'t11'!W16-'t11'!X16)</f>
        <v>0</v>
      </c>
      <c r="E14" s="824">
        <f>'t12'!C14/12</f>
        <v>0</v>
      </c>
      <c r="F14" s="761">
        <f>'t3'!K14+'t3'!L14+'t3'!M14+'t3'!N14+'t3'!O14+'t3'!P14</f>
        <v>0</v>
      </c>
      <c r="G14" s="333" t="str">
        <f t="shared" si="0"/>
        <v>OK</v>
      </c>
      <c r="H14" s="333" t="str">
        <f t="shared" si="1"/>
        <v>OK</v>
      </c>
      <c r="I14" s="559" t="str">
        <f>IF(H14="KO",($H$5&amp;(('t12'!C14/12*273)+(('t3'!K14+'t3'!L14+'t3'!M14+'t3'!N14+'t3'!O14+'t3'!P14)*273))&amp;")"),"")</f>
        <v/>
      </c>
    </row>
    <row r="15" spans="1:11" ht="12.75" x14ac:dyDescent="0.2">
      <c r="A15" s="118" t="str">
        <f>'t1'!A15</f>
        <v>PROFESSIONISTI II LIVELLO</v>
      </c>
      <c r="B15" s="92" t="str">
        <f>'t1'!B15</f>
        <v>0D0PR2</v>
      </c>
      <c r="C15" s="761">
        <f>'t11'!Y17+'t11'!Z17</f>
        <v>0</v>
      </c>
      <c r="D15" s="761">
        <f>(C15-'t11'!S17-'t11'!T17-'t11'!U17-'t11'!V17-'t11'!W17-'t11'!X17)</f>
        <v>0</v>
      </c>
      <c r="E15" s="824">
        <f>'t12'!C15/12</f>
        <v>0</v>
      </c>
      <c r="F15" s="761">
        <f>'t3'!K15+'t3'!L15+'t3'!M15+'t3'!N15+'t3'!O15+'t3'!P15</f>
        <v>0</v>
      </c>
      <c r="G15" s="333" t="str">
        <f t="shared" si="0"/>
        <v>OK</v>
      </c>
      <c r="H15" s="333" t="str">
        <f t="shared" si="1"/>
        <v>OK</v>
      </c>
      <c r="I15" s="559" t="str">
        <f>IF(H15="KO",($H$5&amp;(('t12'!C15/12*273)+(('t3'!K15+'t3'!L15+'t3'!M15+'t3'!N15+'t3'!O15+'t3'!P15)*273))&amp;")"),"")</f>
        <v/>
      </c>
    </row>
    <row r="16" spans="1:11" ht="12.75" x14ac:dyDescent="0.2">
      <c r="A16" s="118" t="str">
        <f>'t1'!A16</f>
        <v>PROFESSIONISTI I LIVELLO</v>
      </c>
      <c r="B16" s="92" t="str">
        <f>'t1'!B16</f>
        <v>0D0PR1</v>
      </c>
      <c r="C16" s="761">
        <f>'t11'!Y18+'t11'!Z18</f>
        <v>0</v>
      </c>
      <c r="D16" s="761">
        <f>(C16-'t11'!S18-'t11'!T18-'t11'!U18-'t11'!V18-'t11'!W18-'t11'!X18)</f>
        <v>0</v>
      </c>
      <c r="E16" s="824">
        <f>'t12'!C16/12</f>
        <v>0</v>
      </c>
      <c r="F16" s="761">
        <f>'t3'!K16+'t3'!L16+'t3'!M16+'t3'!N16+'t3'!O16+'t3'!P16</f>
        <v>0</v>
      </c>
      <c r="G16" s="333" t="str">
        <f t="shared" si="0"/>
        <v>OK</v>
      </c>
      <c r="H16" s="333" t="str">
        <f t="shared" si="1"/>
        <v>OK</v>
      </c>
      <c r="I16" s="559" t="str">
        <f>IF(H16="KO",($H$5&amp;(('t12'!C16/12*273)+(('t3'!K16+'t3'!L16+'t3'!M16+'t3'!N16+'t3'!O16+'t3'!P16)*273))&amp;")"),"")</f>
        <v/>
      </c>
    </row>
    <row r="17" spans="1:9" ht="12.75" x14ac:dyDescent="0.2">
      <c r="A17" s="118" t="str">
        <f>'t1'!A17</f>
        <v>ELEVATE PROFESSIONALITA'</v>
      </c>
      <c r="B17" s="92" t="str">
        <f>'t1'!B17</f>
        <v>0EP981</v>
      </c>
      <c r="C17" s="761">
        <f>'t11'!Y19+'t11'!Z19</f>
        <v>0</v>
      </c>
      <c r="D17" s="761">
        <f>(C17-'t11'!S19-'t11'!T19-'t11'!U19-'t11'!V19-'t11'!W19-'t11'!X19)</f>
        <v>0</v>
      </c>
      <c r="E17" s="824">
        <f>'t12'!C17/12</f>
        <v>0</v>
      </c>
      <c r="F17" s="761">
        <f>'t3'!K17+'t3'!L17+'t3'!M17+'t3'!N17+'t3'!O17+'t3'!P17</f>
        <v>0</v>
      </c>
      <c r="G17" s="333" t="str">
        <f>IF(H17="OK","OK","ERRORE")</f>
        <v>OK</v>
      </c>
      <c r="H17" s="333" t="str">
        <f>IF(((E17+F17)*273)&lt;(D17),"KO","OK")</f>
        <v>OK</v>
      </c>
      <c r="I17" s="559" t="str">
        <f>IF(H17="KO",($H$5&amp;(('t12'!C17/12*273)+(('t3'!K17+'t3'!L17+'t3'!M17+'t3'!N17+'t3'!O17+'t3'!P17)*273))&amp;")"),"")</f>
        <v/>
      </c>
    </row>
    <row r="18" spans="1:9" ht="12.75" x14ac:dyDescent="0.2">
      <c r="A18" s="118" t="str">
        <f>'t1'!A18</f>
        <v>FUNZIONARI</v>
      </c>
      <c r="B18" s="92" t="str">
        <f>'t1'!B18</f>
        <v>0FZ000</v>
      </c>
      <c r="C18" s="761">
        <f>'t11'!Y20+'t11'!Z20</f>
        <v>0</v>
      </c>
      <c r="D18" s="761">
        <f>(C18-'t11'!S20-'t11'!T20-'t11'!U20-'t11'!V20-'t11'!W20-'t11'!X20)</f>
        <v>0</v>
      </c>
      <c r="E18" s="824">
        <f>'t12'!C18/12</f>
        <v>0</v>
      </c>
      <c r="F18" s="761">
        <f>'t3'!K18+'t3'!L18+'t3'!M18+'t3'!N18+'t3'!O18+'t3'!P18</f>
        <v>0</v>
      </c>
      <c r="G18" s="333" t="str">
        <f>IF(H18="OK","OK","ERRORE")</f>
        <v>OK</v>
      </c>
      <c r="H18" s="333" t="str">
        <f>IF(((E18+F18)*273)&lt;(D18),"KO","OK")</f>
        <v>OK</v>
      </c>
      <c r="I18" s="559" t="str">
        <f>IF(H18="KO",($H$5&amp;(('t12'!C18/12*273)+(('t3'!K18+'t3'!L18+'t3'!M18+'t3'!N18+'t3'!O18+'t3'!P18)*273))&amp;")"),"")</f>
        <v/>
      </c>
    </row>
    <row r="19" spans="1:9" ht="12.75" x14ac:dyDescent="0.2">
      <c r="A19" s="118" t="str">
        <f>'t1'!A19</f>
        <v>ASSISTENTI</v>
      </c>
      <c r="B19" s="92" t="str">
        <f>'t1'!B19</f>
        <v>0AS000</v>
      </c>
      <c r="C19" s="761">
        <f>'t11'!Y21+'t11'!Z21</f>
        <v>28</v>
      </c>
      <c r="D19" s="761">
        <f>(C19-'t11'!S21-'t11'!T21-'t11'!U21-'t11'!V21-'t11'!W21-'t11'!X21)</f>
        <v>28</v>
      </c>
      <c r="E19" s="824">
        <f>'t12'!C19/12</f>
        <v>0.56000000000000005</v>
      </c>
      <c r="F19" s="761">
        <f>'t3'!K19+'t3'!L19+'t3'!M19+'t3'!N19+'t3'!O19+'t3'!P19</f>
        <v>0</v>
      </c>
      <c r="G19" s="333" t="str">
        <f>IF(H19="OK","OK","ERRORE")</f>
        <v>OK</v>
      </c>
      <c r="H19" s="333" t="str">
        <f>IF(((E19+F19)*273)&lt;(D19),"KO","OK")</f>
        <v>OK</v>
      </c>
      <c r="I19" s="559" t="str">
        <f>IF(H19="KO",($H$5&amp;(('t12'!C19/12*273)+(('t3'!K19+'t3'!L19+'t3'!M19+'t3'!N19+'t3'!O19+'t3'!P19)*273))&amp;")"),"")</f>
        <v/>
      </c>
    </row>
    <row r="20" spans="1:9" ht="12.75" x14ac:dyDescent="0.2">
      <c r="A20" s="118" t="str">
        <f>'t1'!A20</f>
        <v>OPERATORI</v>
      </c>
      <c r="B20" s="92" t="str">
        <f>'t1'!B20</f>
        <v>0OP000</v>
      </c>
      <c r="C20" s="761">
        <f>'t11'!Y22+'t11'!Z22</f>
        <v>0</v>
      </c>
      <c r="D20" s="761">
        <f>(C20-'t11'!S22-'t11'!T22-'t11'!U22-'t11'!V22-'t11'!W22-'t11'!X22)</f>
        <v>0</v>
      </c>
      <c r="E20" s="824">
        <f>'t12'!C20/12</f>
        <v>0</v>
      </c>
      <c r="F20" s="761">
        <f>'t3'!K20+'t3'!L20+'t3'!M20+'t3'!N20+'t3'!O20+'t3'!P20</f>
        <v>0</v>
      </c>
      <c r="G20" s="333" t="str">
        <f>IF(H20="OK","OK","ERRORE")</f>
        <v>OK</v>
      </c>
      <c r="H20" s="333" t="str">
        <f>IF(((E20+F20)*273)&lt;(D20),"KO","OK")</f>
        <v>OK</v>
      </c>
      <c r="I20" s="559" t="str">
        <f>IF(H20="KO",($H$5&amp;(('t12'!C20/12*273)+(('t3'!K20+'t3'!L20+'t3'!M20+'t3'!N20+'t3'!O20+'t3'!P20)*273))&amp;")"),"")</f>
        <v/>
      </c>
    </row>
    <row r="21" spans="1:9" ht="12.75" x14ac:dyDescent="0.2">
      <c r="A21" s="118" t="str">
        <f>'t1'!A21</f>
        <v>CONTRATTISTI</v>
      </c>
      <c r="B21" s="92" t="str">
        <f>'t1'!B21</f>
        <v>000061</v>
      </c>
      <c r="C21" s="761">
        <f>'t11'!Y23+'t11'!Z23</f>
        <v>0</v>
      </c>
      <c r="D21" s="761">
        <f>(C21-'t11'!S23-'t11'!T23-'t11'!U23-'t11'!V23-'t11'!W23-'t11'!X23)</f>
        <v>0</v>
      </c>
      <c r="E21" s="824">
        <f>'t12'!C21/12</f>
        <v>0</v>
      </c>
      <c r="F21" s="761">
        <f>'t3'!K21+'t3'!L21+'t3'!M21+'t3'!N21+'t3'!O21+'t3'!P21</f>
        <v>0</v>
      </c>
      <c r="G21" s="333" t="str">
        <f t="shared" si="0"/>
        <v>OK</v>
      </c>
      <c r="H21" s="333" t="str">
        <f t="shared" si="1"/>
        <v>OK</v>
      </c>
      <c r="I21" s="559" t="str">
        <f>IF(H21="KO",($H$5&amp;(('t12'!C21/12*273)+(('t3'!#REF!+'t3'!#REF!+'t3'!#REF!+'t3'!#REF!+'t3'!#REF!+'t3'!#REF!)*273))&amp;")"),"")</f>
        <v/>
      </c>
    </row>
  </sheetData>
  <sheetProtection algorithmName="SHA-512" hashValue="XhuwsBOsnkjwnU3Kilpk9HFXt0QIWaen39tZ3QjG+0GembfsPOooCckjB1LEsT7ghXybwfoIuTvzKPBV5ZCDOg==" saltValue="zsqJAgyh0PrvqObq78uQ/g==" spinCount="100000" sheet="1" formatColumns="0" selectLockedCells="1" selectUnlockedCells="1"/>
  <mergeCells count="3">
    <mergeCell ref="A1:I1"/>
    <mergeCell ref="D2:G2"/>
    <mergeCell ref="A3:I3"/>
  </mergeCells>
  <conditionalFormatting sqref="G6:G21">
    <cfRule type="notContainsText" dxfId="1" priority="1" stopIfTrue="1" operator="notContains" text="OK">
      <formula>ISERROR(SEARCH("OK",G6))</formula>
    </cfRule>
  </conditionalFormatting>
  <printOptions horizontalCentered="1"/>
  <pageMargins left="0.2" right="0.2" top="0.19685039370078741" bottom="0.15748031496062992" header="0.15748031496062992" footer="0.15748031496062992"/>
  <pageSetup paperSize="9" scale="81" orientation="landscape"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Foglio35">
    <pageSetUpPr fitToPage="1"/>
  </sheetPr>
  <dimension ref="A1:H36"/>
  <sheetViews>
    <sheetView showGridLines="0" topLeftCell="A19" zoomScale="80" zoomScaleNormal="80" workbookViewId="0">
      <selection activeCell="AK1" sqref="AK1"/>
    </sheetView>
  </sheetViews>
  <sheetFormatPr defaultColWidth="9.33203125" defaultRowHeight="11.25" x14ac:dyDescent="0.2"/>
  <cols>
    <col min="1" max="1" width="3" style="3" customWidth="1"/>
    <col min="2" max="2" width="6.6640625" style="3" customWidth="1"/>
    <col min="3" max="3" width="66" style="3" customWidth="1"/>
    <col min="4" max="8" width="40.6640625" style="2" customWidth="1"/>
    <col min="9" max="16384" width="9.33203125" style="3"/>
  </cols>
  <sheetData>
    <row r="1" spans="1:8" ht="43.5" customHeight="1" x14ac:dyDescent="0.2">
      <c r="A1" s="1163" t="str">
        <f>'t1'!A1</f>
        <v>ENTI PUBBLICI NON ECONOMICI - anno 2024</v>
      </c>
      <c r="B1" s="1163"/>
      <c r="C1" s="1163"/>
      <c r="D1" s="1163"/>
      <c r="E1" s="1163"/>
      <c r="F1" s="1163"/>
      <c r="G1" s="1163"/>
      <c r="H1" s="1163"/>
    </row>
    <row r="2" spans="1:8" ht="21" customHeight="1" x14ac:dyDescent="0.25">
      <c r="A2" s="173" t="s">
        <v>879</v>
      </c>
      <c r="B2" s="173"/>
      <c r="C2" s="173"/>
      <c r="F2" s="3"/>
      <c r="H2" s="3"/>
    </row>
    <row r="3" spans="1:8" ht="21" customHeight="1" thickBot="1" x14ac:dyDescent="0.3">
      <c r="A3" s="1178" t="s">
        <v>880</v>
      </c>
      <c r="B3" s="173"/>
      <c r="C3" s="173"/>
      <c r="H3" s="3"/>
    </row>
    <row r="4" spans="1:8" ht="49.5" customHeight="1" thickBot="1" x14ac:dyDescent="0.25">
      <c r="A4" s="864" t="s">
        <v>638</v>
      </c>
      <c r="B4" s="865"/>
      <c r="C4" s="865"/>
      <c r="D4" s="866" t="s">
        <v>862</v>
      </c>
      <c r="E4" s="866" t="s">
        <v>863</v>
      </c>
      <c r="F4" s="866" t="s">
        <v>864</v>
      </c>
      <c r="G4" s="866" t="s">
        <v>865</v>
      </c>
      <c r="H4" s="866" t="s">
        <v>866</v>
      </c>
    </row>
    <row r="5" spans="1:8" s="93" customFormat="1" ht="60" customHeight="1" thickBot="1" x14ac:dyDescent="0.2">
      <c r="A5" s="867" t="s">
        <v>640</v>
      </c>
      <c r="B5" s="865"/>
      <c r="C5" s="868"/>
      <c r="D5" s="866" t="str">
        <f>IF(AND(D6=0,D7=0),"OK",IF(AND(D6=0,D7&gt;0),"Giustificare: il totale risorse non soggette a limite indicato nella domanda SICI - LEG398 differisce (in più o in meno) di oltre il 10% dal totale delle voci della tabella 15 qui di seguito rappresentate",IF(ABS((D7-D6)/D6)&gt;0.1,"Giustificare: totale risorse non soggette a limite domanda SICI - LEG398 differisce (in più o in meno) di oltre il 10% dal totale delle voci della tabella 15 qui di seguito rappresentate","OK")))</f>
        <v>OK</v>
      </c>
      <c r="E5" s="866" t="str">
        <f>IF(AND(E6=0,E7=0),"OK",IF(AND(E6=0,E7&gt;0),"Giustificare: il totale risorse non soggette a limite indicato nella domanda SICI - LEG398 differisce (in più o in meno) di oltre il 10% dal totale delle voci della tabella 15 qui di seguito rappresentate",IF(ABS((E7-E6)/E6)&gt;0.1,"Giustificare: totale risorse non soggette a limite domanda SICI - LEG398 differisce (in più o in meno) di oltre il 10% dal totale delle voci della tabella 15 qui di seguito rappresentate","OK")))</f>
        <v>OK</v>
      </c>
      <c r="F5" s="866" t="str">
        <f>IF(AND(F6=0,F7=0),"OK",IF(AND(F6=0,F7&gt;0),"Giustificare: il totale risorse non soggette a limite indicato nella domanda SICI - LEG398 differisce (in più o in meno) di oltre il 10% dal totale delle voci della tabella 15 qui di seguito rappresentate",IF(ABS((F7-F6)/F6)&gt;0.1,"Giustificare: totale risorse non soggette a limite domanda SICI - LEG398 differisce (in più o in meno) di oltre il 10% dal totale delle voci della tabella 15 qui di seguito rappresentate","OK")))</f>
        <v>OK</v>
      </c>
      <c r="G5" s="866" t="str">
        <f>IF(AND(G6=0,G7=0),"OK",IF(AND(G6=0,G7&gt;0),"Giustificare: il totale risorse non soggette a limite indicato nella domanda SICI - LEG398 differisce (in più o in meno) di oltre il 10% dal totale delle voci della tabella 15 qui di seguito rappresentate",IF(ABS((G7-G6)/G6)&gt;0.1,"Giustificare: totale risorse non soggette a limite domanda SICI - LEG398 differisce (in più o in meno) di oltre il 10% dal totale delle voci della tabella 15 qui di seguito rappresentate","OK")))</f>
        <v>OK</v>
      </c>
      <c r="H5" s="866" t="str">
        <f>IF(AND(H6=0,H7=0),"OK",IF(AND(H6=0,H7&gt;0),"Giustificare: il totale risorse non soggette a limite indicato nella domanda SICI - LEG398 differisce (in più o in meno) di oltre il 10% dal totale delle voci della tabella 15 qui di seguito rappresentate",IF(ABS((H7-H6)/H6)&gt;0.1,"Giustificare: totale risorse non soggette a limite domanda SICI - LEG398 differisce (in più o in meno) di oltre il 10% dal totale delle voci della tabella 15 qui di seguito rappresentate","OK")))</f>
        <v>OK</v>
      </c>
    </row>
    <row r="6" spans="1:8" s="93" customFormat="1" ht="20.100000000000001" customHeight="1" x14ac:dyDescent="0.15">
      <c r="A6" s="1194" t="s">
        <v>868</v>
      </c>
      <c r="B6" s="1195" t="s">
        <v>881</v>
      </c>
      <c r="C6" s="1195"/>
      <c r="D6" s="1196">
        <f>'SICI(1)'!F21</f>
        <v>0</v>
      </c>
      <c r="E6" s="1196">
        <f>'SICI(2)'!F25</f>
        <v>0</v>
      </c>
      <c r="F6" s="1196">
        <f>'SICI(3)'!F25</f>
        <v>0</v>
      </c>
      <c r="G6" s="1196">
        <f>'SICI(4)'!F25</f>
        <v>0</v>
      </c>
      <c r="H6" s="1196">
        <f>'SICI(5)'!F29</f>
        <v>0</v>
      </c>
    </row>
    <row r="7" spans="1:8" s="93" customFormat="1" ht="20.100000000000001" customHeight="1" x14ac:dyDescent="0.15">
      <c r="A7" s="1171" t="s">
        <v>870</v>
      </c>
      <c r="B7" s="1197" t="s">
        <v>912</v>
      </c>
      <c r="C7" s="1198"/>
      <c r="D7" s="1199">
        <f>SUM(D9:D34)</f>
        <v>0</v>
      </c>
      <c r="E7" s="1199">
        <f>SUM(E9:E34)</f>
        <v>0</v>
      </c>
      <c r="F7" s="1199">
        <f>SUM(F9:F34)</f>
        <v>0</v>
      </c>
      <c r="G7" s="1199">
        <f>SUM(G9:G34)</f>
        <v>0</v>
      </c>
      <c r="H7" s="1199">
        <f>SUM(H9:H34)</f>
        <v>0</v>
      </c>
    </row>
    <row r="8" spans="1:8" s="93" customFormat="1" ht="40.15" customHeight="1" x14ac:dyDescent="0.15">
      <c r="A8" s="1171"/>
      <c r="C8" s="1200"/>
      <c r="D8" s="1201" t="s">
        <v>886</v>
      </c>
      <c r="E8" s="1202"/>
      <c r="F8" s="1202"/>
      <c r="G8" s="1202"/>
      <c r="H8" s="1203"/>
    </row>
    <row r="9" spans="1:8" s="93" customFormat="1" ht="20.100000000000001" customHeight="1" x14ac:dyDescent="0.15">
      <c r="A9" s="1168"/>
      <c r="B9" s="1182" t="s">
        <v>830</v>
      </c>
      <c r="C9" s="1183" t="str">
        <f>INDEX('t15(1)'!$A:$A,MATCH($B9,'t15(1)'!$B:$B,0))</f>
        <v>Art 48 c 1 Ccnl 16-18 - Incrementi</v>
      </c>
      <c r="D9" s="1204">
        <f>SUMIFS('t15(1)'!$C:$C,'t15(1)'!$B:$B,'Incongruenza 15'!$B9)</f>
        <v>0</v>
      </c>
      <c r="E9" s="1205"/>
      <c r="F9" s="1206"/>
      <c r="G9" s="1206"/>
      <c r="H9" s="1207"/>
    </row>
    <row r="10" spans="1:8" s="858" customFormat="1" ht="20.100000000000001" customHeight="1" x14ac:dyDescent="0.15">
      <c r="A10" s="1168"/>
      <c r="B10" s="1182" t="s">
        <v>833</v>
      </c>
      <c r="C10" s="1183" t="str">
        <f>INDEX('t15(2)'!$A:$A,MATCH($B10,'t15(2)'!$B:$B,0))</f>
        <v>Incrementi Ccnl 16-18 (art. 51 c. 1)</v>
      </c>
      <c r="D10" s="1208"/>
      <c r="E10" s="1204">
        <f>SUMIFS('t15(2)'!$C:$C,'t15(2)'!$B:$B,'Incongruenza 15'!$B10)</f>
        <v>0</v>
      </c>
      <c r="F10" s="1209"/>
      <c r="G10" s="1210"/>
      <c r="H10" s="1211"/>
    </row>
    <row r="11" spans="1:8" s="858" customFormat="1" ht="20.100000000000001" customHeight="1" x14ac:dyDescent="0.15">
      <c r="A11" s="1168"/>
      <c r="B11" s="1182" t="s">
        <v>835</v>
      </c>
      <c r="C11" s="1183" t="str">
        <f>INDEX('t15(3)'!$A:$A,MATCH($B11,'t15(3)'!$B:$B,0))</f>
        <v>Incrementi Ccnl 16-18 (art. 97 c. 1)</v>
      </c>
      <c r="D11" s="1212"/>
      <c r="E11" s="1207"/>
      <c r="F11" s="1204">
        <f>SUMIFS('t15(3)'!$C:$C,'t15(3)'!$B:$B,'Incongruenza 15'!$B11)</f>
        <v>0</v>
      </c>
      <c r="G11" s="1209"/>
      <c r="H11" s="1211"/>
    </row>
    <row r="12" spans="1:8" s="858" customFormat="1" ht="20.100000000000001" customHeight="1" x14ac:dyDescent="0.15">
      <c r="A12" s="1168"/>
      <c r="B12" s="1182" t="s">
        <v>837</v>
      </c>
      <c r="C12" s="1183" t="str">
        <f>INDEX('t15(4)'!$A:$A,MATCH($B12,'t15(4)'!$B:$B,0))</f>
        <v>Incrementi Ccnl 16-18 (art. 89 c. 1)</v>
      </c>
      <c r="D12" s="1212"/>
      <c r="E12" s="1210"/>
      <c r="F12" s="1207"/>
      <c r="G12" s="1204">
        <f>SUMIFS('t15(4)'!$C:$C,'t15(4)'!$B:$B,'Incongruenza 15'!$B12)</f>
        <v>0</v>
      </c>
      <c r="H12" s="1213"/>
    </row>
    <row r="13" spans="1:8" s="93" customFormat="1" ht="20.100000000000001" customHeight="1" x14ac:dyDescent="0.15">
      <c r="A13" s="1168"/>
      <c r="B13" s="1182" t="s">
        <v>727</v>
      </c>
      <c r="C13" s="1183" t="str">
        <f>INDEX('t15(5)'!$A:$A,MATCH($B13,'t15(5)'!$B:$B,0))</f>
        <v>Art 76 c 3 L a) Ccnl 16-18 - Incremento da 1.1.18</v>
      </c>
      <c r="D13" s="1212"/>
      <c r="E13" s="1210"/>
      <c r="F13" s="1210"/>
      <c r="G13" s="1207"/>
      <c r="H13" s="1204">
        <f>SUMIFS('t15(5)'!$C:$C,'t15(5)'!$B:$B,'Incongruenza 15'!$B13)</f>
        <v>0</v>
      </c>
    </row>
    <row r="14" spans="1:8" s="93" customFormat="1" ht="20.100000000000001" customHeight="1" x14ac:dyDescent="0.15">
      <c r="A14" s="1168"/>
      <c r="B14" s="1182" t="s">
        <v>998</v>
      </c>
      <c r="C14" s="1183" t="str">
        <f>INDEX('t15(5)'!$A:$A,MATCH($B14,'t15(5)'!$B:$B,0))</f>
        <v>Art 49 c 2 Ccnl 19-21 - Ris diff stip preced carico bilancio</v>
      </c>
      <c r="D14" s="1212"/>
      <c r="E14" s="1210"/>
      <c r="F14" s="1210"/>
      <c r="G14" s="1211"/>
      <c r="H14" s="1204">
        <f>SUMIFS('t15(5)'!$C:$C,'t15(5)'!$B:$B,'Incongruenza 15'!$B14)</f>
        <v>0</v>
      </c>
    </row>
    <row r="15" spans="1:8" s="93" customFormat="1" ht="20.100000000000001" customHeight="1" x14ac:dyDescent="0.15">
      <c r="A15" s="1168"/>
      <c r="B15" s="1182" t="s">
        <v>1096</v>
      </c>
      <c r="C15" s="1183" t="s">
        <v>1158</v>
      </c>
      <c r="D15" s="1204">
        <f>SUMIFS('t15(1)'!$C:$C,'t15(1)'!$B:$B,'Incongruenza 15'!$B15)</f>
        <v>0</v>
      </c>
      <c r="E15" s="1210"/>
      <c r="F15" s="1210"/>
      <c r="G15" s="1210"/>
      <c r="H15" s="1207"/>
    </row>
    <row r="16" spans="1:8" s="93" customFormat="1" ht="20.100000000000001" customHeight="1" x14ac:dyDescent="0.15">
      <c r="A16" s="1168"/>
      <c r="B16" s="1182" t="s">
        <v>1102</v>
      </c>
      <c r="C16" s="1183" t="s">
        <v>1159</v>
      </c>
      <c r="D16" s="1212"/>
      <c r="E16" s="1204">
        <f>SUMIFS('t15(2)'!$C:$C,'t15(2)'!$B:$B,'Incongruenza 15'!$B16)</f>
        <v>0</v>
      </c>
      <c r="F16" s="1210"/>
      <c r="G16" s="1210"/>
      <c r="H16" s="1211"/>
    </row>
    <row r="17" spans="1:8" s="93" customFormat="1" ht="20.100000000000001" customHeight="1" x14ac:dyDescent="0.15">
      <c r="A17" s="1168"/>
      <c r="B17" s="1182" t="s">
        <v>1104</v>
      </c>
      <c r="C17" s="1183" t="s">
        <v>1160</v>
      </c>
      <c r="D17" s="1212"/>
      <c r="E17" s="1210"/>
      <c r="F17" s="1204">
        <f>SUMIFS('t15(3)'!$C:$C,'t15(3)'!$B:$B,'Incongruenza 15'!$B17)</f>
        <v>0</v>
      </c>
      <c r="G17" s="1210"/>
      <c r="H17" s="1211"/>
    </row>
    <row r="18" spans="1:8" s="93" customFormat="1" ht="20.100000000000001" customHeight="1" x14ac:dyDescent="0.15">
      <c r="A18" s="1168"/>
      <c r="B18" s="1182" t="s">
        <v>1107</v>
      </c>
      <c r="C18" s="1183" t="s">
        <v>1161</v>
      </c>
      <c r="D18" s="1212"/>
      <c r="E18" s="1210"/>
      <c r="F18" s="1210"/>
      <c r="G18" s="1204">
        <f>SUMIFS('t15(4)'!$C:$C,'t15(4)'!$B:$B,'Incongruenza 15'!$B18)</f>
        <v>0</v>
      </c>
      <c r="H18" s="1211"/>
    </row>
    <row r="19" spans="1:8" s="93" customFormat="1" ht="20.100000000000001" customHeight="1" x14ac:dyDescent="0.15">
      <c r="A19" s="1168"/>
      <c r="B19" s="1182" t="s">
        <v>999</v>
      </c>
      <c r="C19" s="1183" t="str">
        <f>INDEX('t15(5)'!$A:$A,MATCH($B19,'t15(5)'!$B:$B,0))</f>
        <v>Art 49 c 3 Ccnl 19-21 - Increm (in % m.s. 2018, tab D Ccnl)</v>
      </c>
      <c r="D19" s="1212"/>
      <c r="E19" s="1210"/>
      <c r="F19" s="1210"/>
      <c r="G19" s="1211"/>
      <c r="H19" s="1204">
        <f>SUMIFS('t15(5)'!$C:$C,'t15(5)'!$B:$B,'Incongruenza 15'!$B19)</f>
        <v>0</v>
      </c>
    </row>
    <row r="20" spans="1:8" s="93" customFormat="1" ht="20.100000000000001" customHeight="1" x14ac:dyDescent="0.15">
      <c r="A20" s="1168"/>
      <c r="B20" s="1182" t="s">
        <v>1187</v>
      </c>
      <c r="C20" s="1183" t="str">
        <f>INDEX('t15(5)'!$A:$A,MATCH($B20,'t15(5)'!$B:$B,0))</f>
        <v>Art 32 c 1 Ccnl 22-24 - Increm (in % m.s. 2021, tab 7 Ccnl)</v>
      </c>
      <c r="D20" s="1212"/>
      <c r="E20" s="1210"/>
      <c r="F20" s="1210"/>
      <c r="G20" s="1211"/>
      <c r="H20" s="1204">
        <f>SUMIFS('t15(5)'!$C:$C,'t15(5)'!$B:$B,'Incongruenza 15'!$B20)</f>
        <v>0</v>
      </c>
    </row>
    <row r="21" spans="1:8" s="93" customFormat="1" ht="20.100000000000001" customHeight="1" x14ac:dyDescent="0.15">
      <c r="A21" s="1168"/>
      <c r="B21" s="1182" t="s">
        <v>719</v>
      </c>
      <c r="C21" s="1183" t="s">
        <v>890</v>
      </c>
      <c r="D21" s="1209"/>
      <c r="E21" s="1214"/>
      <c r="F21" s="1214"/>
      <c r="G21" s="1215"/>
      <c r="H21" s="1204">
        <f>SUMIFS('t15(5)'!$C:$C,'t15(5)'!$B:$B,'Incongruenza 15'!$B21)</f>
        <v>0</v>
      </c>
    </row>
    <row r="22" spans="1:8" s="93" customFormat="1" ht="20.25" customHeight="1" x14ac:dyDescent="0.15">
      <c r="A22" s="1168"/>
      <c r="B22" s="1216" t="s">
        <v>844</v>
      </c>
      <c r="C22" s="1183" t="s">
        <v>977</v>
      </c>
      <c r="D22" s="1204">
        <f>SUMIFS('t15(1)'!$C:$C,'t15(1)'!$B:$B,'Incongruenza 15'!$B22)</f>
        <v>0</v>
      </c>
      <c r="E22" s="1204">
        <f>SUMIFS('t15(2)'!$C:$C,'t15(2)'!$B:$B,'Incongruenza 15'!$B22)</f>
        <v>0</v>
      </c>
      <c r="F22" s="1204">
        <f>SUMIFS('t15(3)'!$C:$C,'t15(3)'!$B:$B,'Incongruenza 15'!$B22)</f>
        <v>0</v>
      </c>
      <c r="G22" s="1204">
        <f>SUMIFS('t15(4)'!$C:$C,'t15(4)'!$B:$B,'Incongruenza 15'!$B22)</f>
        <v>0</v>
      </c>
      <c r="H22" s="1204">
        <f>SUMIFS('t15(5)'!$C:$C,'t15(5)'!$B:$B,'Incongruenza 15'!$B22)</f>
        <v>0</v>
      </c>
    </row>
    <row r="23" spans="1:8" s="858" customFormat="1" ht="20.100000000000001" customHeight="1" x14ac:dyDescent="0.15">
      <c r="A23" s="1168"/>
      <c r="C23" s="1182"/>
      <c r="D23" s="1201" t="s">
        <v>887</v>
      </c>
      <c r="E23" s="1217"/>
      <c r="F23" s="1217"/>
      <c r="G23" s="1202"/>
      <c r="H23" s="1203"/>
    </row>
    <row r="24" spans="1:8" s="93" customFormat="1" ht="20.100000000000001" customHeight="1" x14ac:dyDescent="0.15">
      <c r="A24" s="1168"/>
      <c r="B24" s="1182" t="s">
        <v>465</v>
      </c>
      <c r="C24" s="1183" t="str">
        <f>INDEX('t15(1)'!$A:$A,MATCH($B24,'t15(1)'!$B:$B,0))</f>
        <v>Art 43 L 449/1997 - Entr. conto terzi o utenza o sponsor.</v>
      </c>
      <c r="D24" s="1204">
        <f>SUMIFS('t15(1)'!$C:$C,'t15(1)'!$B:$B,'Incongruenza 15'!$B24)</f>
        <v>0</v>
      </c>
      <c r="E24" s="1204">
        <f>SUMIFS('t15(2)'!$C:$C,'t15(2)'!$B:$B,'Incongruenza 15'!$B24)</f>
        <v>0</v>
      </c>
      <c r="F24" s="1204">
        <f>SUMIFS('t15(3)'!$C:$C,'t15(3)'!$B:$B,'Incongruenza 15'!$B24)</f>
        <v>0</v>
      </c>
      <c r="G24" s="1204">
        <f>SUMIFS('t15(4)'!$C:$C,'t15(4)'!$B:$B,'Incongruenza 15'!$B24)</f>
        <v>0</v>
      </c>
      <c r="H24" s="1204">
        <f>SUMIFS('t15(5)'!$C:$C,'t15(5)'!$B:$B,'Incongruenza 15'!$B24)</f>
        <v>0</v>
      </c>
    </row>
    <row r="25" spans="1:8" s="858" customFormat="1" ht="20.100000000000001" customHeight="1" x14ac:dyDescent="0.15">
      <c r="A25" s="1168"/>
      <c r="B25" s="1182" t="s">
        <v>567</v>
      </c>
      <c r="C25" s="1183" t="str">
        <f>INDEX('t15(2)'!$A:$A,MATCH($B25,'t15(2)'!$B:$B,0))</f>
        <v>Art 16 cc 4-5-6 DL 98/11 - Risp. piani razionalizzazione</v>
      </c>
      <c r="D25" s="1378"/>
      <c r="E25" s="1204">
        <f>SUMIFS('t15(2)'!$C:$C,'t15(2)'!$B:$B,'Incongruenza 15'!$B25)</f>
        <v>0</v>
      </c>
      <c r="F25" s="1204">
        <f>SUMIFS('t15(3)'!$C:$C,'t15(3)'!$B:$B,'Incongruenza 15'!$B25)</f>
        <v>0</v>
      </c>
      <c r="G25" s="1204">
        <f>SUMIFS('t15(4)'!$C:$C,'t15(4)'!$B:$B,'Incongruenza 15'!$B25)</f>
        <v>0</v>
      </c>
      <c r="H25" s="1204">
        <f>SUMIFS('t15(5)'!$C:$C,'t15(5)'!$B:$B,'Incongruenza 15'!$B25)</f>
        <v>0</v>
      </c>
    </row>
    <row r="26" spans="1:8" s="858" customFormat="1" ht="20.100000000000001" customHeight="1" x14ac:dyDescent="0.15">
      <c r="A26" s="1168"/>
      <c r="B26" s="1182" t="s">
        <v>467</v>
      </c>
      <c r="C26" s="1183" t="str">
        <f>INDEX('t15(1)'!$A:$A,MATCH($B26,'t15(1)'!$B:$B,0))</f>
        <v>Ris. da terzi per incar. agg.vi (art 52 c 3 L. a Ccnl 02-05)</v>
      </c>
      <c r="D26" s="1204">
        <f>SUMIFS('t15(1)'!$C:$C,'t15(1)'!$B:$B,'Incongruenza 15'!$B26)</f>
        <v>0</v>
      </c>
      <c r="E26" s="1205"/>
      <c r="F26" s="1206"/>
      <c r="G26" s="1206"/>
      <c r="H26" s="1207"/>
    </row>
    <row r="27" spans="1:8" s="93" customFormat="1" ht="20.100000000000001" customHeight="1" x14ac:dyDescent="0.15">
      <c r="A27" s="1168"/>
      <c r="B27" s="1182" t="s">
        <v>479</v>
      </c>
      <c r="C27" s="1183" t="str">
        <f>INDEX('t15(2)'!$A:$A,MATCH($B27,'t15(2)'!$B:$B,0))</f>
        <v>Ris. da terzi per incar. agg.vi (art 59 c 3 L. a Ccnl02-05)</v>
      </c>
      <c r="D27" s="1208"/>
      <c r="E27" s="1204">
        <f>SUMIFS('t15(2)'!$C:$C,'t15(2)'!$B:$B,'Incongruenza 15'!$B27)</f>
        <v>0</v>
      </c>
      <c r="F27" s="1212"/>
      <c r="G27" s="1214"/>
      <c r="H27" s="1211"/>
    </row>
    <row r="28" spans="1:8" s="93" customFormat="1" ht="20.100000000000001" customHeight="1" x14ac:dyDescent="0.15">
      <c r="A28" s="1168"/>
      <c r="B28" s="1182" t="s">
        <v>823</v>
      </c>
      <c r="C28" s="1183" t="str">
        <f>INDEX('t15(4)'!$A:$A,MATCH($B28,'t15(4)'!$B:$B,0))</f>
        <v>Art 9 c 3 DL 90/2014 - Comp Avvocati carico controparti</v>
      </c>
      <c r="D28" s="1212"/>
      <c r="E28" s="1206"/>
      <c r="F28" s="1211"/>
      <c r="G28" s="1204">
        <f>SUMIFS('t15(4)'!$C:$C,'t15(4)'!$B:$B,'Incongruenza 15'!$B28)</f>
        <v>0</v>
      </c>
      <c r="H28" s="1211"/>
    </row>
    <row r="29" spans="1:8" s="93" customFormat="1" ht="20.100000000000001" customHeight="1" x14ac:dyDescent="0.15">
      <c r="A29" s="1168"/>
      <c r="B29" s="1182" t="s">
        <v>824</v>
      </c>
      <c r="C29" s="1183" t="str">
        <f>INDEX('t15(4)'!$A:$A,MATCH($B29,'t15(4)'!$B:$B,0))</f>
        <v>Art 9 c 6 DL 90/2014 - Comp Avvocati spese compensate</v>
      </c>
      <c r="D29" s="1212"/>
      <c r="E29" s="1210"/>
      <c r="F29" s="1211"/>
      <c r="G29" s="1204">
        <f>SUMIFS('t15(4)'!$C:$C,'t15(4)'!$B:$B,'Incongruenza 15'!$B29)</f>
        <v>0</v>
      </c>
      <c r="H29" s="1215"/>
    </row>
    <row r="30" spans="1:8" s="93" customFormat="1" ht="20.100000000000001" customHeight="1" x14ac:dyDescent="0.15">
      <c r="A30" s="1168"/>
      <c r="B30" s="1182" t="s">
        <v>1110</v>
      </c>
      <c r="C30" s="1183" t="s">
        <v>1144</v>
      </c>
      <c r="D30" s="1212"/>
      <c r="E30" s="1210"/>
      <c r="F30" s="1210"/>
      <c r="G30" s="1204">
        <f>SUMIFS('t15(4)'!$C:$C,'t15(4)'!$B:$B,'Incongruenza 15'!$B30)</f>
        <v>0</v>
      </c>
      <c r="H30" s="1204">
        <f>SUMIFS('t15(5)'!$C:$C,'t15(5)'!$B:$B,'Incongruenza 15'!$B30)</f>
        <v>0</v>
      </c>
    </row>
    <row r="31" spans="1:8" s="858" customFormat="1" ht="20.100000000000001" customHeight="1" x14ac:dyDescent="0.15">
      <c r="A31" s="1168"/>
      <c r="B31" s="1216" t="s">
        <v>1111</v>
      </c>
      <c r="C31" s="1183" t="s">
        <v>1145</v>
      </c>
      <c r="D31" s="1212"/>
      <c r="E31" s="1210"/>
      <c r="F31" s="1210"/>
      <c r="G31" s="1211"/>
      <c r="H31" s="1204">
        <f>SUMIFS('t15(5)'!$C:$C,'t15(5)'!$B:$B,'Incongruenza 15'!$B31)</f>
        <v>0</v>
      </c>
    </row>
    <row r="32" spans="1:8" s="858" customFormat="1" ht="20.100000000000001" customHeight="1" x14ac:dyDescent="0.15">
      <c r="A32" s="1168"/>
      <c r="B32" s="1216" t="s">
        <v>1113</v>
      </c>
      <c r="C32" s="1183" t="str">
        <f>INDEX('t15(5)'!$A:$A,MATCH($B32,'t15(5)'!$B:$B,0))</f>
        <v>Art 11 c 1 L B DL 135/18 - Incr acc ass TD deroga fac ass.li</v>
      </c>
      <c r="D32" s="1212"/>
      <c r="E32" s="1210"/>
      <c r="F32" s="1210"/>
      <c r="G32" s="1211"/>
      <c r="H32" s="1204">
        <f>SUMIFS('t15(5)'!$C:$C,'t15(5)'!$B:$B,'Incongruenza 15'!$B32)</f>
        <v>0</v>
      </c>
    </row>
    <row r="33" spans="1:8" s="93" customFormat="1" ht="20.100000000000001" customHeight="1" x14ac:dyDescent="0.15">
      <c r="A33" s="1168"/>
      <c r="B33" s="1216" t="s">
        <v>1099</v>
      </c>
      <c r="C33" s="1183" t="str">
        <f>INDEX('t15(5)'!$A:$A,MATCH($B33,'t15(5)'!$B:$B,0))</f>
        <v>Art 1 c 604 L 234/2021 - Increm 0,22% m.s. 2018 dal 1.1.2022</v>
      </c>
      <c r="D33" s="1204">
        <f>SUMIFS('t15(1)'!$C:$C,'t15(1)'!$B:$B,'Incongruenza 15'!$B33)</f>
        <v>0</v>
      </c>
      <c r="E33" s="1204">
        <f>SUMIFS('t15(2)'!$C:$C,'t15(2)'!$B:$B,'Incongruenza 15'!$B33)</f>
        <v>0</v>
      </c>
      <c r="F33" s="1204">
        <f>SUMIFS('t15(3)'!$C:$C,'t15(3)'!$B:$B,'Incongruenza 15'!$B33)</f>
        <v>0</v>
      </c>
      <c r="G33" s="1204">
        <f>SUMIFS('t15(4)'!$C:$C,'t15(4)'!$B:$B,'Incongruenza 15'!$B33)</f>
        <v>0</v>
      </c>
      <c r="H33" s="1204">
        <f>SUMIFS('t15(5)'!$C:$C,'t15(5)'!$B:$B,'Incongruenza 15'!$B33)</f>
        <v>0</v>
      </c>
    </row>
    <row r="34" spans="1:8" s="858" customFormat="1" ht="20.100000000000001" customHeight="1" x14ac:dyDescent="0.15">
      <c r="A34" s="1168"/>
      <c r="B34" s="1216" t="s">
        <v>470</v>
      </c>
      <c r="C34" s="1183" t="str">
        <f>INDEX('t15(1)'!$A:$A,MATCH($B34,'t15(1)'!$B:$B,0))</f>
        <v>Somme non utilizzate fondo/i anno precedente</v>
      </c>
      <c r="D34" s="1204">
        <f>SUMIFS('t15(1)'!$C:$C,'t15(1)'!$B:$B,'Incongruenza 15'!$B34)</f>
        <v>0</v>
      </c>
      <c r="E34" s="1204">
        <f>SUMIFS('t15(2)'!$C:$C,'t15(2)'!$B:$B,'Incongruenza 15'!$B34)</f>
        <v>0</v>
      </c>
      <c r="F34" s="1204">
        <f>SUMIFS('t15(3)'!$C:$C,'t15(3)'!$B:$B,'Incongruenza 15'!$B34)</f>
        <v>0</v>
      </c>
      <c r="G34" s="1204">
        <f>SUMIFS('t15(4)'!$C:$C,'t15(4)'!$B:$B,'Incongruenza 15'!$B34)</f>
        <v>0</v>
      </c>
      <c r="H34" s="1204">
        <f>SUMIFS('t15(5)'!$C:$C,'t15(5)'!$B:$B,'Incongruenza 15'!$B34)</f>
        <v>0</v>
      </c>
    </row>
    <row r="35" spans="1:8" ht="20.100000000000001" customHeight="1" x14ac:dyDescent="0.2">
      <c r="A35" s="1171" t="s">
        <v>872</v>
      </c>
      <c r="B35" s="1197" t="s">
        <v>882</v>
      </c>
      <c r="C35" s="1198"/>
      <c r="D35" s="1204">
        <f>D6-D7</f>
        <v>0</v>
      </c>
      <c r="E35" s="1204">
        <f>E6-E7</f>
        <v>0</v>
      </c>
      <c r="F35" s="1204">
        <f>F6-F7</f>
        <v>0</v>
      </c>
      <c r="G35" s="1204">
        <f>G6-G7</f>
        <v>0</v>
      </c>
      <c r="H35" s="1204">
        <f>H6-H7</f>
        <v>0</v>
      </c>
    </row>
    <row r="36" spans="1:8" ht="20.25" customHeight="1" x14ac:dyDescent="0.2">
      <c r="A36" s="878" t="s">
        <v>874</v>
      </c>
      <c r="B36" s="1218" t="s">
        <v>913</v>
      </c>
      <c r="C36" s="1218"/>
      <c r="D36" s="1199">
        <f>IF(D6&lt;&gt;0,ABS(D35/D6)*100,0)</f>
        <v>0</v>
      </c>
      <c r="E36" s="1199">
        <f>IF(E6&lt;&gt;0,ABS(E35/E6)*100,0)</f>
        <v>0</v>
      </c>
      <c r="F36" s="1199">
        <f>IF(F6&lt;&gt;0,ABS(F35/F6)*100,0)</f>
        <v>0</v>
      </c>
      <c r="G36" s="1199">
        <f>IF(G6&lt;&gt;0,ABS(G35/G6)*100,0)</f>
        <v>0</v>
      </c>
      <c r="H36" s="1199">
        <f>IF(H6&lt;&gt;0,ABS(H35/H6)*100,0)</f>
        <v>0</v>
      </c>
    </row>
  </sheetData>
  <sheetProtection algorithmName="SHA-512" hashValue="qhOv0c6MFtTijvOT1Oej+F3IOwTLyWZhqWswQDk1UqJamdL5TEcRZ5ktLM/DpWkgI1mrSYDrzsjCBcQjAE4HyQ==" saltValue="QDdQAbws14/QQwX40/sVKA==" spinCount="100000" sheet="1" formatColumns="0" selectLockedCells="1"/>
  <conditionalFormatting sqref="D36:H36">
    <cfRule type="cellIs" dxfId="0" priority="1" stopIfTrue="1" operator="greaterThan">
      <formula>10</formula>
    </cfRule>
  </conditionalFormatting>
  <printOptions horizontalCentered="1"/>
  <pageMargins left="0.39370078740157483" right="0.39370078740157483" top="0.78740157480314965" bottom="0.39370078740157483" header="0.19685039370078741" footer="0.19685039370078741"/>
  <pageSetup paperSize="9" scale="53" orientation="landscape" horizontalDpi="300" verticalDpi="4294967292"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47</vt:i4>
      </vt:variant>
      <vt:variant>
        <vt:lpstr>Intervalli denominati</vt:lpstr>
      </vt:variant>
      <vt:variant>
        <vt:i4>62</vt:i4>
      </vt:variant>
    </vt:vector>
  </HeadingPairs>
  <TitlesOfParts>
    <vt:vector size="109" baseType="lpstr">
      <vt:lpstr>SI_1</vt:lpstr>
      <vt:lpstr>tFAM</vt:lpstr>
      <vt:lpstr>t1</vt:lpstr>
      <vt:lpstr>1E</vt:lpstr>
      <vt:lpstr>t2</vt:lpstr>
      <vt:lpstr>t2A</vt:lpstr>
      <vt:lpstr>t3</vt:lpstr>
      <vt:lpstr>t4</vt:lpstr>
      <vt:lpstr>t5</vt:lpstr>
      <vt:lpstr>t6</vt:lpstr>
      <vt:lpstr>t7</vt:lpstr>
      <vt:lpstr>t8</vt:lpstr>
      <vt:lpstr>t9</vt:lpstr>
      <vt:lpstr>t10</vt:lpstr>
      <vt:lpstr>t11</vt:lpstr>
      <vt:lpstr>t12</vt:lpstr>
      <vt:lpstr>t13</vt:lpstr>
      <vt:lpstr>t14</vt:lpstr>
      <vt:lpstr>t15(1)</vt:lpstr>
      <vt:lpstr>t15(2)</vt:lpstr>
      <vt:lpstr>t15(3)</vt:lpstr>
      <vt:lpstr>t15(4)</vt:lpstr>
      <vt:lpstr>t15(5)</vt:lpstr>
      <vt:lpstr>SICI(1)</vt:lpstr>
      <vt:lpstr>SICI(2)</vt:lpstr>
      <vt:lpstr>SICI(3)</vt:lpstr>
      <vt:lpstr>SICI(4)</vt:lpstr>
      <vt:lpstr>SICI(5)</vt:lpstr>
      <vt:lpstr>Tabella Riconciliazione</vt:lpstr>
      <vt:lpstr>Valori Medi</vt:lpstr>
      <vt:lpstr>Squadratura 1</vt:lpstr>
      <vt:lpstr>Squadratura 2</vt:lpstr>
      <vt:lpstr>Squadratura 3</vt:lpstr>
      <vt:lpstr>Squadratura 4</vt:lpstr>
      <vt:lpstr>Squadratura 6</vt:lpstr>
      <vt:lpstr>Incongruenze 1 e 11</vt:lpstr>
      <vt:lpstr>Incongruenza 2</vt:lpstr>
      <vt:lpstr>Incongruenza 3</vt:lpstr>
      <vt:lpstr>Incongruenza 4 e controlli t14</vt:lpstr>
      <vt:lpstr>Incongruenza 5</vt:lpstr>
      <vt:lpstr>Incongruenza 6</vt:lpstr>
      <vt:lpstr>Incongruenza 7</vt:lpstr>
      <vt:lpstr>Incongruenza 8</vt:lpstr>
      <vt:lpstr>Incongruenza 10</vt:lpstr>
      <vt:lpstr>Incongruenze 12 e 13</vt:lpstr>
      <vt:lpstr>Incongruenza 14</vt:lpstr>
      <vt:lpstr>Incongruenza 15</vt:lpstr>
      <vt:lpstr>'Incongruenza 15'!Area_stampa</vt:lpstr>
      <vt:lpstr>'Incongruenza 3'!Area_stampa</vt:lpstr>
      <vt:lpstr>'Incongruenze 1 e 11'!Area_stampa</vt:lpstr>
      <vt:lpstr>'Incongruenze 12 e 13'!Area_stampa</vt:lpstr>
      <vt:lpstr>SI_1!Area_stampa</vt:lpstr>
      <vt:lpstr>'SICI(1)'!Area_stampa</vt:lpstr>
      <vt:lpstr>'SICI(2)'!Area_stampa</vt:lpstr>
      <vt:lpstr>'SICI(3)'!Area_stampa</vt:lpstr>
      <vt:lpstr>'SICI(4)'!Area_stampa</vt:lpstr>
      <vt:lpstr>'SICI(5)'!Area_stampa</vt:lpstr>
      <vt:lpstr>'Squadratura 1'!Area_stampa</vt:lpstr>
      <vt:lpstr>'Squadratura 2'!Area_stampa</vt:lpstr>
      <vt:lpstr>'Squadratura 3'!Area_stampa</vt:lpstr>
      <vt:lpstr>'Squadratura 4'!Area_stampa</vt:lpstr>
      <vt:lpstr>'Squadratura 6'!Area_stampa</vt:lpstr>
      <vt:lpstr>'t1'!Area_stampa</vt:lpstr>
      <vt:lpstr>'t10'!Area_stampa</vt:lpstr>
      <vt:lpstr>'t11'!Area_stampa</vt:lpstr>
      <vt:lpstr>'t12'!Area_stampa</vt:lpstr>
      <vt:lpstr>'t13'!Area_stampa</vt:lpstr>
      <vt:lpstr>'t15(1)'!Area_stampa</vt:lpstr>
      <vt:lpstr>'t15(2)'!Area_stampa</vt:lpstr>
      <vt:lpstr>'t15(3)'!Area_stampa</vt:lpstr>
      <vt:lpstr>'t15(4)'!Area_stampa</vt:lpstr>
      <vt:lpstr>'t15(5)'!Area_stampa</vt:lpstr>
      <vt:lpstr>t2A!Area_stampa</vt:lpstr>
      <vt:lpstr>'t3'!Area_stampa</vt:lpstr>
      <vt:lpstr>'t4'!Area_stampa</vt:lpstr>
      <vt:lpstr>'t5'!Area_stampa</vt:lpstr>
      <vt:lpstr>'t7'!Area_stampa</vt:lpstr>
      <vt:lpstr>'t8'!Area_stampa</vt:lpstr>
      <vt:lpstr>'t9'!Area_stampa</vt:lpstr>
      <vt:lpstr>tFAM!Area_stampa</vt:lpstr>
      <vt:lpstr>'Valori Medi'!Area_stampa</vt:lpstr>
      <vt:lpstr>'Incongruenza 15'!Titoli_stampa</vt:lpstr>
      <vt:lpstr>'Incongruenza 2'!Titoli_stampa</vt:lpstr>
      <vt:lpstr>'Incongruenza 5'!Titoli_stampa</vt:lpstr>
      <vt:lpstr>'Incongruenza 6'!Titoli_stampa</vt:lpstr>
      <vt:lpstr>'Incongruenza 7'!Titoli_stampa</vt:lpstr>
      <vt:lpstr>'Incongruenza 8'!Titoli_stampa</vt:lpstr>
      <vt:lpstr>'Incongruenze 1 e 11'!Titoli_stampa</vt:lpstr>
      <vt:lpstr>'Incongruenze 12 e 13'!Titoli_stampa</vt:lpstr>
      <vt:lpstr>'Squadratura 1'!Titoli_stampa</vt:lpstr>
      <vt:lpstr>'Squadratura 2'!Titoli_stampa</vt:lpstr>
      <vt:lpstr>'Squadratura 3'!Titoli_stampa</vt:lpstr>
      <vt:lpstr>'Squadratura 4'!Titoli_stampa</vt:lpstr>
      <vt:lpstr>'Squadratura 6'!Titoli_stampa</vt:lpstr>
      <vt:lpstr>'t1'!Titoli_stampa</vt:lpstr>
      <vt:lpstr>'t10'!Titoli_stampa</vt:lpstr>
      <vt:lpstr>'t11'!Titoli_stampa</vt:lpstr>
      <vt:lpstr>'t12'!Titoli_stampa</vt:lpstr>
      <vt:lpstr>'t13'!Titoli_stampa</vt:lpstr>
      <vt:lpstr>'t15(5)'!Titoli_stampa</vt:lpstr>
      <vt:lpstr>'t2'!Titoli_stampa</vt:lpstr>
      <vt:lpstr>'t3'!Titoli_stampa</vt:lpstr>
      <vt:lpstr>'t5'!Titoli_stampa</vt:lpstr>
      <vt:lpstr>'t6'!Titoli_stampa</vt:lpstr>
      <vt:lpstr>'t7'!Titoli_stampa</vt:lpstr>
      <vt:lpstr>'t8'!Titoli_stampa</vt:lpstr>
      <vt:lpstr>'t9'!Titoli_stampa</vt:lpstr>
      <vt:lpstr>tFAM!Titoli_stampa</vt:lpstr>
      <vt:lpstr>'Valori Medi'!Titoli_stampa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 G. O. P. DIV.  VI</dc:creator>
  <cp:lastModifiedBy>Paola Boarin</cp:lastModifiedBy>
  <cp:lastPrinted>2025-07-04T16:07:48Z</cp:lastPrinted>
  <dcterms:created xsi:type="dcterms:W3CDTF">1998-10-29T14:18:41Z</dcterms:created>
  <dcterms:modified xsi:type="dcterms:W3CDTF">2025-07-16T07:10:51Z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